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ocuments\Jodi\Reports\"/>
    </mc:Choice>
  </mc:AlternateContent>
  <xr:revisionPtr revIDLastSave="0" documentId="8_{E6A68586-8FED-4882-8CA2-473544316A53}" xr6:coauthVersionLast="47" xr6:coauthVersionMax="47" xr10:uidLastSave="{00000000-0000-0000-0000-000000000000}"/>
  <bookViews>
    <workbookView xWindow="28680" yWindow="-120" windowWidth="29040" windowHeight="15840" xr2:uid="{6A2C9FE0-B169-417B-9661-07FE0B528176}"/>
  </bookViews>
  <sheets>
    <sheet name="22-23 Debt Schedule" sheetId="1" r:id="rId1"/>
  </sheets>
  <definedNames>
    <definedName name="_xlnm.Print_Area" localSheetId="0">'22-23 Debt Schedule'!$A$1:$DY$51</definedName>
    <definedName name="_xlnm.Print_Titles" localSheetId="0">'22-23 Debt Schedule'!$A:$A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52" i="1" l="1"/>
  <c r="DI52" i="1" s="1"/>
  <c r="DC52" i="1"/>
  <c r="DE52" i="1" s="1"/>
  <c r="DA52" i="1"/>
  <c r="CY52" i="1"/>
  <c r="CW52" i="1"/>
  <c r="CU52" i="1"/>
  <c r="CQ52" i="1"/>
  <c r="CS52" i="1" s="1"/>
  <c r="CJ52" i="1"/>
  <c r="CF52" i="1"/>
  <c r="CG52" i="1" s="1"/>
  <c r="CE52" i="1"/>
  <c r="BH52" i="1"/>
  <c r="BG52" i="1"/>
  <c r="BI52" i="1" s="1"/>
  <c r="BC52" i="1"/>
  <c r="BE52" i="1" s="1"/>
  <c r="AV52" i="1"/>
  <c r="AU52" i="1"/>
  <c r="AW52" i="1" s="1"/>
  <c r="BY52" i="1" s="1"/>
  <c r="M52" i="1"/>
  <c r="U52" i="1" s="1"/>
  <c r="L52" i="1"/>
  <c r="K52" i="1"/>
  <c r="BY49" i="1"/>
  <c r="BU49" i="1"/>
  <c r="DQ48" i="1"/>
  <c r="DM48" i="1"/>
  <c r="DI48" i="1"/>
  <c r="DE48" i="1"/>
  <c r="DA48" i="1"/>
  <c r="CW48" i="1"/>
  <c r="CS48" i="1"/>
  <c r="CS49" i="1" s="1"/>
  <c r="CO48" i="1"/>
  <c r="CO49" i="1" s="1"/>
  <c r="CK48" i="1"/>
  <c r="CG48" i="1"/>
  <c r="CG49" i="1" s="1"/>
  <c r="AW48" i="1"/>
  <c r="AW49" i="1" s="1"/>
  <c r="AJ48" i="1"/>
  <c r="DM47" i="1"/>
  <c r="DM49" i="1" s="1"/>
  <c r="DI47" i="1"/>
  <c r="DI49" i="1" s="1"/>
  <c r="DH47" i="1"/>
  <c r="DE47" i="1"/>
  <c r="DE49" i="1" s="1"/>
  <c r="DD47" i="1"/>
  <c r="DA47" i="1"/>
  <c r="DA49" i="1" s="1"/>
  <c r="CW47" i="1"/>
  <c r="CW49" i="1" s="1"/>
  <c r="CV47" i="1"/>
  <c r="CS47" i="1"/>
  <c r="CR47" i="1"/>
  <c r="CO47" i="1"/>
  <c r="CK47" i="1"/>
  <c r="CK49" i="1" s="1"/>
  <c r="CJ47" i="1"/>
  <c r="CG47" i="1"/>
  <c r="BQ47" i="1"/>
  <c r="BU48" i="1" s="1"/>
  <c r="BU50" i="1" s="1"/>
  <c r="BP47" i="1"/>
  <c r="BO47" i="1"/>
  <c r="BM47" i="1"/>
  <c r="BL47" i="1"/>
  <c r="BK47" i="1"/>
  <c r="BI47" i="1"/>
  <c r="BH47" i="1"/>
  <c r="BT48" i="1" s="1"/>
  <c r="BE47" i="1"/>
  <c r="BD47" i="1"/>
  <c r="BA47" i="1"/>
  <c r="BY48" i="1" s="1"/>
  <c r="AZ47" i="1"/>
  <c r="AW47" i="1"/>
  <c r="AV47" i="1"/>
  <c r="AS47" i="1"/>
  <c r="AS49" i="1" s="1"/>
  <c r="AR47" i="1"/>
  <c r="AQ47" i="1"/>
  <c r="AO47" i="1"/>
  <c r="AO49" i="1" s="1"/>
  <c r="AN47" i="1"/>
  <c r="AM47" i="1"/>
  <c r="AK47" i="1"/>
  <c r="AJ47" i="1"/>
  <c r="AI47" i="1"/>
  <c r="AG47" i="1"/>
  <c r="AF47" i="1"/>
  <c r="AE47" i="1"/>
  <c r="AC47" i="1"/>
  <c r="AB47" i="1"/>
  <c r="AA47" i="1"/>
  <c r="AI48" i="1" s="1"/>
  <c r="Y47" i="1"/>
  <c r="AK48" i="1" s="1"/>
  <c r="AK50" i="1" s="1"/>
  <c r="X47" i="1"/>
  <c r="W47" i="1"/>
  <c r="Q47" i="1"/>
  <c r="P47" i="1"/>
  <c r="O47" i="1"/>
  <c r="M47" i="1"/>
  <c r="L47" i="1"/>
  <c r="K47" i="1"/>
  <c r="I47" i="1"/>
  <c r="U48" i="1" s="1"/>
  <c r="H47" i="1"/>
  <c r="G47" i="1"/>
  <c r="E47" i="1"/>
  <c r="D47" i="1"/>
  <c r="DQ46" i="1"/>
  <c r="DY46" i="1" s="1"/>
  <c r="DP46" i="1"/>
  <c r="DX46" i="1" s="1"/>
  <c r="DO46" i="1"/>
  <c r="DX45" i="1"/>
  <c r="DQ45" i="1"/>
  <c r="DY45" i="1" s="1"/>
  <c r="DP45" i="1"/>
  <c r="DY44" i="1"/>
  <c r="DQ44" i="1"/>
  <c r="DP44" i="1"/>
  <c r="DX44" i="1" s="1"/>
  <c r="DO44" i="1"/>
  <c r="DQ43" i="1"/>
  <c r="DY43" i="1" s="1"/>
  <c r="DP43" i="1"/>
  <c r="DX43" i="1" s="1"/>
  <c r="DW43" i="1" s="1"/>
  <c r="DY42" i="1"/>
  <c r="DX42" i="1"/>
  <c r="DW42" i="1" s="1"/>
  <c r="DQ42" i="1"/>
  <c r="DP42" i="1"/>
  <c r="DO42" i="1"/>
  <c r="DQ41" i="1"/>
  <c r="DY41" i="1" s="1"/>
  <c r="DP41" i="1"/>
  <c r="DX41" i="1" s="1"/>
  <c r="DW41" i="1" s="1"/>
  <c r="CN41" i="1"/>
  <c r="CM41" i="1" s="1"/>
  <c r="DU40" i="1"/>
  <c r="DQ40" i="1"/>
  <c r="DY40" i="1" s="1"/>
  <c r="DP40" i="1"/>
  <c r="DO40" i="1"/>
  <c r="DL40" i="1"/>
  <c r="DG40" i="1"/>
  <c r="CN40" i="1"/>
  <c r="CM40" i="1"/>
  <c r="DU39" i="1"/>
  <c r="DT39" i="1"/>
  <c r="DS39" i="1" s="1"/>
  <c r="DQ39" i="1"/>
  <c r="DY39" i="1" s="1"/>
  <c r="DP39" i="1"/>
  <c r="DL39" i="1"/>
  <c r="DK39" i="1" s="1"/>
  <c r="DG39" i="1"/>
  <c r="DC39" i="1"/>
  <c r="CN39" i="1"/>
  <c r="CM39" i="1"/>
  <c r="DU38" i="1"/>
  <c r="DY38" i="1" s="1"/>
  <c r="DT38" i="1"/>
  <c r="DS38" i="1" s="1"/>
  <c r="DQ38" i="1"/>
  <c r="DL38" i="1"/>
  <c r="DK38" i="1"/>
  <c r="DG38" i="1"/>
  <c r="DC38" i="1"/>
  <c r="CN38" i="1"/>
  <c r="DP38" i="1" s="1"/>
  <c r="DO38" i="1" s="1"/>
  <c r="DY37" i="1"/>
  <c r="DU37" i="1"/>
  <c r="DQ37" i="1"/>
  <c r="DL37" i="1"/>
  <c r="DT37" i="1" s="1"/>
  <c r="DS37" i="1" s="1"/>
  <c r="DK37" i="1"/>
  <c r="DG37" i="1"/>
  <c r="DC37" i="1"/>
  <c r="CN37" i="1"/>
  <c r="DU36" i="1"/>
  <c r="DQ36" i="1"/>
  <c r="DY36" i="1" s="1"/>
  <c r="DP36" i="1"/>
  <c r="DO36" i="1" s="1"/>
  <c r="DL36" i="1"/>
  <c r="DT36" i="1" s="1"/>
  <c r="DS36" i="1" s="1"/>
  <c r="DK36" i="1"/>
  <c r="DG36" i="1"/>
  <c r="DC36" i="1"/>
  <c r="CN36" i="1"/>
  <c r="CM36" i="1"/>
  <c r="DU35" i="1"/>
  <c r="DT35" i="1"/>
  <c r="DS35" i="1"/>
  <c r="DQ35" i="1"/>
  <c r="DY35" i="1" s="1"/>
  <c r="DP35" i="1"/>
  <c r="DL35" i="1"/>
  <c r="DK35" i="1" s="1"/>
  <c r="DG35" i="1"/>
  <c r="DC35" i="1"/>
  <c r="CN35" i="1"/>
  <c r="CM35" i="1"/>
  <c r="DU34" i="1"/>
  <c r="DY34" i="1" s="1"/>
  <c r="DT34" i="1"/>
  <c r="DQ34" i="1"/>
  <c r="DL34" i="1"/>
  <c r="DK34" i="1"/>
  <c r="DG34" i="1"/>
  <c r="DC34" i="1"/>
  <c r="CN34" i="1"/>
  <c r="DP34" i="1" s="1"/>
  <c r="DO34" i="1" s="1"/>
  <c r="CM34" i="1"/>
  <c r="DY33" i="1"/>
  <c r="DU33" i="1"/>
  <c r="DQ33" i="1"/>
  <c r="DL33" i="1"/>
  <c r="DT33" i="1" s="1"/>
  <c r="DS33" i="1" s="1"/>
  <c r="DK33" i="1"/>
  <c r="DG33" i="1"/>
  <c r="DC33" i="1"/>
  <c r="CN33" i="1"/>
  <c r="DU32" i="1"/>
  <c r="DQ32" i="1"/>
  <c r="DY32" i="1" s="1"/>
  <c r="DP32" i="1"/>
  <c r="DX32" i="1" s="1"/>
  <c r="DW32" i="1" s="1"/>
  <c r="DO32" i="1"/>
  <c r="DL32" i="1"/>
  <c r="DT32" i="1" s="1"/>
  <c r="DS32" i="1" s="1"/>
  <c r="DK32" i="1"/>
  <c r="DG32" i="1"/>
  <c r="DC32" i="1"/>
  <c r="CN32" i="1"/>
  <c r="CM32" i="1"/>
  <c r="DU31" i="1"/>
  <c r="DT31" i="1"/>
  <c r="DS31" i="1"/>
  <c r="DQ31" i="1"/>
  <c r="DY31" i="1" s="1"/>
  <c r="DP31" i="1"/>
  <c r="DL31" i="1"/>
  <c r="DK31" i="1" s="1"/>
  <c r="DG31" i="1"/>
  <c r="DC31" i="1"/>
  <c r="CN31" i="1"/>
  <c r="CM31" i="1"/>
  <c r="DX30" i="1"/>
  <c r="DW30" i="1"/>
  <c r="DU30" i="1"/>
  <c r="DY30" i="1" s="1"/>
  <c r="DT30" i="1"/>
  <c r="DQ30" i="1"/>
  <c r="DL30" i="1"/>
  <c r="DK30" i="1"/>
  <c r="DG30" i="1"/>
  <c r="DC30" i="1"/>
  <c r="CN30" i="1"/>
  <c r="DP30" i="1" s="1"/>
  <c r="DO30" i="1" s="1"/>
  <c r="CM30" i="1"/>
  <c r="DY29" i="1"/>
  <c r="DX29" i="1"/>
  <c r="DW29" i="1" s="1"/>
  <c r="DU29" i="1"/>
  <c r="DQ29" i="1"/>
  <c r="DL29" i="1"/>
  <c r="DT29" i="1" s="1"/>
  <c r="DS29" i="1" s="1"/>
  <c r="DK29" i="1"/>
  <c r="DG29" i="1"/>
  <c r="DC29" i="1"/>
  <c r="CQ29" i="1"/>
  <c r="CN29" i="1"/>
  <c r="DP29" i="1" s="1"/>
  <c r="DO29" i="1" s="1"/>
  <c r="DU28" i="1"/>
  <c r="DQ28" i="1"/>
  <c r="DY28" i="1" s="1"/>
  <c r="DP28" i="1"/>
  <c r="DO28" i="1"/>
  <c r="DL28" i="1"/>
  <c r="DG28" i="1"/>
  <c r="DC28" i="1"/>
  <c r="CY28" i="1"/>
  <c r="CQ28" i="1"/>
  <c r="CN28" i="1"/>
  <c r="CM28" i="1"/>
  <c r="DU27" i="1"/>
  <c r="DY27" i="1" s="1"/>
  <c r="DQ27" i="1"/>
  <c r="DL27" i="1"/>
  <c r="DK27" i="1"/>
  <c r="DG27" i="1"/>
  <c r="DC27" i="1"/>
  <c r="CZ27" i="1"/>
  <c r="DT27" i="1" s="1"/>
  <c r="DS27" i="1" s="1"/>
  <c r="CY27" i="1"/>
  <c r="CU27" i="1"/>
  <c r="CQ27" i="1"/>
  <c r="CN27" i="1"/>
  <c r="DP27" i="1" s="1"/>
  <c r="DO27" i="1" s="1"/>
  <c r="CC27" i="1"/>
  <c r="CB27" i="1"/>
  <c r="CA27" i="1"/>
  <c r="AU27" i="1"/>
  <c r="DU26" i="1"/>
  <c r="DT26" i="1"/>
  <c r="DS26" i="1"/>
  <c r="DQ26" i="1"/>
  <c r="DY26" i="1" s="1"/>
  <c r="DL26" i="1"/>
  <c r="DK26" i="1"/>
  <c r="DG26" i="1"/>
  <c r="DC26" i="1"/>
  <c r="CZ26" i="1"/>
  <c r="CY26" i="1"/>
  <c r="CU26" i="1"/>
  <c r="CQ26" i="1"/>
  <c r="CN26" i="1"/>
  <c r="CC26" i="1"/>
  <c r="CB26" i="1"/>
  <c r="CA26" i="1" s="1"/>
  <c r="AU26" i="1"/>
  <c r="DU25" i="1"/>
  <c r="DT25" i="1"/>
  <c r="DS25" i="1"/>
  <c r="DQ25" i="1"/>
  <c r="DY25" i="1" s="1"/>
  <c r="DL25" i="1"/>
  <c r="DK25" i="1" s="1"/>
  <c r="DG25" i="1"/>
  <c r="DC25" i="1"/>
  <c r="CZ25" i="1"/>
  <c r="CY25" i="1"/>
  <c r="CU25" i="1"/>
  <c r="CQ25" i="1"/>
  <c r="CN25" i="1"/>
  <c r="DP25" i="1" s="1"/>
  <c r="CC25" i="1"/>
  <c r="CB25" i="1"/>
  <c r="CA25" i="1" s="1"/>
  <c r="BG25" i="1"/>
  <c r="AU25" i="1"/>
  <c r="DU24" i="1"/>
  <c r="DT24" i="1"/>
  <c r="DS24" i="1"/>
  <c r="DQ24" i="1"/>
  <c r="DY24" i="1" s="1"/>
  <c r="DP24" i="1"/>
  <c r="DL24" i="1"/>
  <c r="DK24" i="1" s="1"/>
  <c r="DG24" i="1"/>
  <c r="DC24" i="1"/>
  <c r="CZ24" i="1"/>
  <c r="CY24" i="1"/>
  <c r="CU24" i="1"/>
  <c r="CQ24" i="1"/>
  <c r="CN24" i="1"/>
  <c r="CM24" i="1" s="1"/>
  <c r="CC24" i="1"/>
  <c r="CB24" i="1"/>
  <c r="CA24" i="1" s="1"/>
  <c r="BY24" i="1"/>
  <c r="BX24" i="1"/>
  <c r="BW24" i="1"/>
  <c r="BG24" i="1"/>
  <c r="AU24" i="1"/>
  <c r="DU23" i="1"/>
  <c r="DY23" i="1" s="1"/>
  <c r="DT23" i="1"/>
  <c r="DQ23" i="1"/>
  <c r="DL23" i="1"/>
  <c r="DK23" i="1"/>
  <c r="DG23" i="1"/>
  <c r="DC23" i="1"/>
  <c r="CZ23" i="1"/>
  <c r="CY23" i="1"/>
  <c r="CU23" i="1"/>
  <c r="CQ23" i="1"/>
  <c r="CN23" i="1"/>
  <c r="CM23" i="1" s="1"/>
  <c r="CJ23" i="1"/>
  <c r="CI23" i="1"/>
  <c r="CF23" i="1"/>
  <c r="CE23" i="1"/>
  <c r="CC23" i="1"/>
  <c r="CB23" i="1"/>
  <c r="CA23" i="1" s="1"/>
  <c r="BY23" i="1"/>
  <c r="BX23" i="1"/>
  <c r="BW23" i="1" s="1"/>
  <c r="BG23" i="1"/>
  <c r="AU23" i="1"/>
  <c r="U23" i="1"/>
  <c r="T23" i="1"/>
  <c r="S23" i="1"/>
  <c r="C23" i="1"/>
  <c r="DY22" i="1"/>
  <c r="DU22" i="1"/>
  <c r="DQ22" i="1"/>
  <c r="DL22" i="1"/>
  <c r="DK22" i="1"/>
  <c r="DG22" i="1"/>
  <c r="DC22" i="1"/>
  <c r="CZ22" i="1"/>
  <c r="DT22" i="1" s="1"/>
  <c r="DS22" i="1" s="1"/>
  <c r="CY22" i="1"/>
  <c r="CU22" i="1"/>
  <c r="CQ22" i="1"/>
  <c r="CN22" i="1"/>
  <c r="CJ22" i="1"/>
  <c r="CI22" i="1"/>
  <c r="CF22" i="1"/>
  <c r="CE22" i="1"/>
  <c r="BY22" i="1"/>
  <c r="CC22" i="1" s="1"/>
  <c r="BX22" i="1"/>
  <c r="CB22" i="1" s="1"/>
  <c r="CA22" i="1" s="1"/>
  <c r="BW22" i="1"/>
  <c r="BG22" i="1"/>
  <c r="AU22" i="1"/>
  <c r="U22" i="1"/>
  <c r="T22" i="1"/>
  <c r="S22" i="1"/>
  <c r="C22" i="1"/>
  <c r="DU21" i="1"/>
  <c r="DT21" i="1"/>
  <c r="DX21" i="1" s="1"/>
  <c r="DW21" i="1" s="1"/>
  <c r="DS21" i="1"/>
  <c r="DQ21" i="1"/>
  <c r="DY21" i="1" s="1"/>
  <c r="DL21" i="1"/>
  <c r="DK21" i="1"/>
  <c r="DG21" i="1"/>
  <c r="DC21" i="1"/>
  <c r="CZ21" i="1"/>
  <c r="CY21" i="1"/>
  <c r="CU21" i="1"/>
  <c r="CQ21" i="1"/>
  <c r="CN21" i="1"/>
  <c r="DP21" i="1" s="1"/>
  <c r="CM21" i="1"/>
  <c r="CJ21" i="1"/>
  <c r="CI21" i="1" s="1"/>
  <c r="CF21" i="1"/>
  <c r="CE21" i="1"/>
  <c r="BY21" i="1"/>
  <c r="CC21" i="1" s="1"/>
  <c r="BX21" i="1"/>
  <c r="CB21" i="1" s="1"/>
  <c r="CA21" i="1" s="1"/>
  <c r="BG21" i="1"/>
  <c r="AU21" i="1"/>
  <c r="U21" i="1"/>
  <c r="S21" i="1" s="1"/>
  <c r="T21" i="1"/>
  <c r="C21" i="1"/>
  <c r="DU20" i="1"/>
  <c r="DT20" i="1"/>
  <c r="DS20" i="1" s="1"/>
  <c r="DQ20" i="1"/>
  <c r="DL20" i="1"/>
  <c r="DK20" i="1"/>
  <c r="DG20" i="1"/>
  <c r="DC20" i="1"/>
  <c r="CZ20" i="1"/>
  <c r="CY20" i="1"/>
  <c r="CU20" i="1"/>
  <c r="CQ20" i="1"/>
  <c r="CN20" i="1"/>
  <c r="CM20" i="1" s="1"/>
  <c r="CJ20" i="1"/>
  <c r="CI20" i="1" s="1"/>
  <c r="CF20" i="1"/>
  <c r="CE20" i="1"/>
  <c r="BY20" i="1"/>
  <c r="CC20" i="1" s="1"/>
  <c r="BX20" i="1"/>
  <c r="CB20" i="1" s="1"/>
  <c r="CA20" i="1" s="1"/>
  <c r="BG20" i="1"/>
  <c r="AU20" i="1"/>
  <c r="U20" i="1"/>
  <c r="T20" i="1"/>
  <c r="S20" i="1" s="1"/>
  <c r="C20" i="1"/>
  <c r="DU19" i="1"/>
  <c r="DT19" i="1"/>
  <c r="DS19" i="1"/>
  <c r="DQ19" i="1"/>
  <c r="DY19" i="1" s="1"/>
  <c r="DP19" i="1"/>
  <c r="DX19" i="1" s="1"/>
  <c r="DW19" i="1" s="1"/>
  <c r="DO19" i="1"/>
  <c r="DL19" i="1"/>
  <c r="DK19" i="1" s="1"/>
  <c r="DG19" i="1"/>
  <c r="DC19" i="1"/>
  <c r="CZ19" i="1"/>
  <c r="CY19" i="1"/>
  <c r="CU19" i="1"/>
  <c r="CQ19" i="1"/>
  <c r="CN19" i="1"/>
  <c r="CM19" i="1"/>
  <c r="CJ19" i="1"/>
  <c r="CI19" i="1"/>
  <c r="CF19" i="1"/>
  <c r="CE19" i="1" s="1"/>
  <c r="BY19" i="1"/>
  <c r="BX19" i="1"/>
  <c r="CB19" i="1" s="1"/>
  <c r="BW19" i="1"/>
  <c r="BU19" i="1"/>
  <c r="BT19" i="1"/>
  <c r="BS19" i="1"/>
  <c r="BG19" i="1"/>
  <c r="AU19" i="1"/>
  <c r="U19" i="1"/>
  <c r="T19" i="1"/>
  <c r="S19" i="1"/>
  <c r="C19" i="1"/>
  <c r="DU18" i="1"/>
  <c r="DT18" i="1"/>
  <c r="DS18" i="1"/>
  <c r="DQ18" i="1"/>
  <c r="DY18" i="1" s="1"/>
  <c r="DL18" i="1"/>
  <c r="DK18" i="1"/>
  <c r="DG18" i="1"/>
  <c r="DC18" i="1"/>
  <c r="CZ18" i="1"/>
  <c r="CY18" i="1"/>
  <c r="CU18" i="1"/>
  <c r="CQ18" i="1"/>
  <c r="CN18" i="1"/>
  <c r="DP18" i="1" s="1"/>
  <c r="DX18" i="1" s="1"/>
  <c r="DW18" i="1" s="1"/>
  <c r="CM18" i="1"/>
  <c r="CJ18" i="1"/>
  <c r="CI18" i="1" s="1"/>
  <c r="CF18" i="1"/>
  <c r="CE18" i="1"/>
  <c r="BY18" i="1"/>
  <c r="CC18" i="1" s="1"/>
  <c r="BX18" i="1"/>
  <c r="CB18" i="1" s="1"/>
  <c r="CA18" i="1" s="1"/>
  <c r="BW18" i="1"/>
  <c r="BU18" i="1"/>
  <c r="BU47" i="1" s="1"/>
  <c r="BT18" i="1"/>
  <c r="BG18" i="1"/>
  <c r="BC18" i="1"/>
  <c r="AU18" i="1"/>
  <c r="U18" i="1"/>
  <c r="T18" i="1"/>
  <c r="S18" i="1"/>
  <c r="C18" i="1"/>
  <c r="DU17" i="1"/>
  <c r="DY17" i="1" s="1"/>
  <c r="DQ17" i="1"/>
  <c r="DL17" i="1"/>
  <c r="DK17" i="1"/>
  <c r="DG17" i="1"/>
  <c r="DC17" i="1"/>
  <c r="DC47" i="1" s="1"/>
  <c r="CZ17" i="1"/>
  <c r="CZ47" i="1" s="1"/>
  <c r="CU17" i="1"/>
  <c r="CQ17" i="1"/>
  <c r="CN17" i="1"/>
  <c r="CM17" i="1"/>
  <c r="CJ17" i="1"/>
  <c r="DP17" i="1" s="1"/>
  <c r="DO17" i="1" s="1"/>
  <c r="CI17" i="1"/>
  <c r="CF17" i="1"/>
  <c r="CE17" i="1"/>
  <c r="CC17" i="1"/>
  <c r="CB17" i="1"/>
  <c r="CA17" i="1"/>
  <c r="BY17" i="1"/>
  <c r="BX17" i="1"/>
  <c r="BW17" i="1" s="1"/>
  <c r="BU17" i="1"/>
  <c r="BT17" i="1"/>
  <c r="BS17" i="1"/>
  <c r="BG17" i="1"/>
  <c r="BC17" i="1"/>
  <c r="AU17" i="1"/>
  <c r="U17" i="1"/>
  <c r="CC16" i="1" s="1"/>
  <c r="T17" i="1"/>
  <c r="CB16" i="1" s="1"/>
  <c r="S17" i="1"/>
  <c r="C17" i="1"/>
  <c r="DY16" i="1"/>
  <c r="DU16" i="1"/>
  <c r="DQ16" i="1"/>
  <c r="DL16" i="1"/>
  <c r="DT16" i="1" s="1"/>
  <c r="DS16" i="1" s="1"/>
  <c r="DG16" i="1"/>
  <c r="DC16" i="1"/>
  <c r="CZ16" i="1"/>
  <c r="CY16" i="1" s="1"/>
  <c r="CU16" i="1"/>
  <c r="CQ16" i="1"/>
  <c r="CN16" i="1"/>
  <c r="CM16" i="1"/>
  <c r="CJ16" i="1"/>
  <c r="DP16" i="1" s="1"/>
  <c r="CF16" i="1"/>
  <c r="CE16" i="1"/>
  <c r="BY16" i="1"/>
  <c r="BX16" i="1"/>
  <c r="BW16" i="1"/>
  <c r="BU16" i="1"/>
  <c r="BT16" i="1"/>
  <c r="BS16" i="1"/>
  <c r="BG16" i="1"/>
  <c r="BC16" i="1"/>
  <c r="AY16" i="1"/>
  <c r="AU16" i="1"/>
  <c r="U16" i="1"/>
  <c r="T16" i="1"/>
  <c r="C16" i="1"/>
  <c r="DU15" i="1"/>
  <c r="DT15" i="1"/>
  <c r="DS15" i="1"/>
  <c r="DQ15" i="1"/>
  <c r="DL15" i="1"/>
  <c r="DK15" i="1" s="1"/>
  <c r="DG15" i="1"/>
  <c r="DC15" i="1"/>
  <c r="CZ15" i="1"/>
  <c r="CY15" i="1"/>
  <c r="CU15" i="1"/>
  <c r="CQ15" i="1"/>
  <c r="CN15" i="1"/>
  <c r="CM15" i="1"/>
  <c r="CJ15" i="1"/>
  <c r="CI52" i="1" s="1"/>
  <c r="CI15" i="1"/>
  <c r="CF15" i="1"/>
  <c r="CE15" i="1" s="1"/>
  <c r="BY15" i="1"/>
  <c r="BX15" i="1"/>
  <c r="BW15" i="1"/>
  <c r="BG15" i="1"/>
  <c r="BG47" i="1" s="1"/>
  <c r="BS48" i="1" s="1"/>
  <c r="BC15" i="1"/>
  <c r="BC47" i="1" s="1"/>
  <c r="AY15" i="1"/>
  <c r="AY47" i="1" s="1"/>
  <c r="AU15" i="1"/>
  <c r="AU47" i="1" s="1"/>
  <c r="U15" i="1"/>
  <c r="S15" i="1" s="1"/>
  <c r="T15" i="1"/>
  <c r="C15" i="1"/>
  <c r="DX16" i="1" l="1"/>
  <c r="DW16" i="1" s="1"/>
  <c r="DO16" i="1"/>
  <c r="CA16" i="1"/>
  <c r="CM52" i="1"/>
  <c r="CO52" i="1" s="1"/>
  <c r="DQ52" i="1" s="1"/>
  <c r="CN47" i="1"/>
  <c r="DO24" i="1"/>
  <c r="DX24" i="1"/>
  <c r="DW24" i="1" s="1"/>
  <c r="CQ47" i="1"/>
  <c r="CK52" i="1"/>
  <c r="DU47" i="1"/>
  <c r="DX38" i="1"/>
  <c r="DW38" i="1" s="1"/>
  <c r="S16" i="1"/>
  <c r="DG47" i="1"/>
  <c r="DT17" i="1"/>
  <c r="DS17" i="1" s="1"/>
  <c r="DS47" i="1" s="1"/>
  <c r="DO21" i="1"/>
  <c r="DS23" i="1"/>
  <c r="CM26" i="1"/>
  <c r="DP26" i="1"/>
  <c r="DS30" i="1"/>
  <c r="DP33" i="1"/>
  <c r="CM33" i="1"/>
  <c r="DO45" i="1"/>
  <c r="DU48" i="1"/>
  <c r="DU50" i="1" s="1"/>
  <c r="DX25" i="1"/>
  <c r="DW25" i="1" s="1"/>
  <c r="DO25" i="1"/>
  <c r="U47" i="1"/>
  <c r="DK16" i="1"/>
  <c r="DK47" i="1" s="1"/>
  <c r="BS18" i="1"/>
  <c r="BS47" i="1" s="1"/>
  <c r="BW48" i="1" s="1"/>
  <c r="CC19" i="1"/>
  <c r="CA19" i="1" s="1"/>
  <c r="BW20" i="1"/>
  <c r="DX35" i="1"/>
  <c r="DW35" i="1" s="1"/>
  <c r="DO35" i="1"/>
  <c r="DX36" i="1"/>
  <c r="DW36" i="1" s="1"/>
  <c r="CM38" i="1"/>
  <c r="DT40" i="1"/>
  <c r="DS40" i="1" s="1"/>
  <c r="DK40" i="1"/>
  <c r="CU47" i="1"/>
  <c r="CC52" i="1"/>
  <c r="DX40" i="1"/>
  <c r="DW40" i="1" s="1"/>
  <c r="S48" i="1"/>
  <c r="BY50" i="1"/>
  <c r="CI16" i="1"/>
  <c r="CI47" i="1" s="1"/>
  <c r="BW21" i="1"/>
  <c r="BW47" i="1" s="1"/>
  <c r="CA48" i="1" s="1"/>
  <c r="DS34" i="1"/>
  <c r="DP37" i="1"/>
  <c r="CM37" i="1"/>
  <c r="DO43" i="1"/>
  <c r="T48" i="1"/>
  <c r="S47" i="1"/>
  <c r="DX31" i="1"/>
  <c r="DW31" i="1" s="1"/>
  <c r="DO31" i="1"/>
  <c r="CB15" i="1"/>
  <c r="BX47" i="1"/>
  <c r="DP20" i="1"/>
  <c r="DX39" i="1"/>
  <c r="DW39" i="1" s="1"/>
  <c r="DO39" i="1"/>
  <c r="BT47" i="1"/>
  <c r="BX48" i="1" s="1"/>
  <c r="DQ47" i="1"/>
  <c r="DY48" i="1" s="1"/>
  <c r="DO18" i="1"/>
  <c r="DT28" i="1"/>
  <c r="DS28" i="1" s="1"/>
  <c r="DK28" i="1"/>
  <c r="CC15" i="1"/>
  <c r="DP15" i="1"/>
  <c r="DY20" i="1"/>
  <c r="DP22" i="1"/>
  <c r="CM22" i="1"/>
  <c r="CM47" i="1" s="1"/>
  <c r="DU49" i="1"/>
  <c r="CE47" i="1"/>
  <c r="C47" i="1"/>
  <c r="DY15" i="1"/>
  <c r="DQ49" i="1"/>
  <c r="DQ50" i="1" s="1"/>
  <c r="CY17" i="1"/>
  <c r="CY47" i="1" s="1"/>
  <c r="CM25" i="1"/>
  <c r="DX27" i="1"/>
  <c r="DW27" i="1" s="1"/>
  <c r="DX34" i="1"/>
  <c r="DW34" i="1" s="1"/>
  <c r="DO41" i="1"/>
  <c r="CM27" i="1"/>
  <c r="CM29" i="1"/>
  <c r="T47" i="1"/>
  <c r="CF47" i="1"/>
  <c r="DL47" i="1"/>
  <c r="DP48" i="1" s="1"/>
  <c r="DX48" i="1" s="1"/>
  <c r="BY47" i="1"/>
  <c r="CC48" i="1" s="1"/>
  <c r="U49" i="1"/>
  <c r="U50" i="1" s="1"/>
  <c r="DP23" i="1"/>
  <c r="DK52" i="1"/>
  <c r="DM52" i="1" s="1"/>
  <c r="DU52" i="1" s="1"/>
  <c r="DO48" i="1" l="1"/>
  <c r="DO23" i="1"/>
  <c r="DX23" i="1"/>
  <c r="DW23" i="1" s="1"/>
  <c r="DY47" i="1"/>
  <c r="DY49" i="1"/>
  <c r="CC47" i="1"/>
  <c r="CC49" i="1"/>
  <c r="CC50" i="1"/>
  <c r="DX28" i="1"/>
  <c r="DW28" i="1" s="1"/>
  <c r="DX20" i="1"/>
  <c r="DW20" i="1" s="1"/>
  <c r="DO20" i="1"/>
  <c r="DY50" i="1"/>
  <c r="DO22" i="1"/>
  <c r="DX22" i="1"/>
  <c r="DW22" i="1" s="1"/>
  <c r="CB48" i="1"/>
  <c r="DX17" i="1"/>
  <c r="DW17" i="1" s="1"/>
  <c r="DO33" i="1"/>
  <c r="DX33" i="1"/>
  <c r="DW33" i="1" s="1"/>
  <c r="DT47" i="1"/>
  <c r="DO37" i="1"/>
  <c r="DX37" i="1"/>
  <c r="DW37" i="1" s="1"/>
  <c r="CB47" i="1"/>
  <c r="CA15" i="1"/>
  <c r="CA47" i="1" s="1"/>
  <c r="DX15" i="1"/>
  <c r="DO15" i="1"/>
  <c r="DP47" i="1"/>
  <c r="DT48" i="1" s="1"/>
  <c r="DO26" i="1"/>
  <c r="DX26" i="1"/>
  <c r="DW26" i="1" s="1"/>
  <c r="DX47" i="1" l="1"/>
  <c r="DW15" i="1"/>
  <c r="DW47" i="1" s="1"/>
  <c r="DO47" i="1"/>
  <c r="DW48" i="1" l="1"/>
  <c r="DS48" i="1"/>
</calcChain>
</file>

<file path=xl/sharedStrings.xml><?xml version="1.0" encoding="utf-8"?>
<sst xmlns="http://schemas.openxmlformats.org/spreadsheetml/2006/main" count="289" uniqueCount="131">
  <si>
    <t>City of Burton</t>
  </si>
  <si>
    <t>Debt Schedule</t>
  </si>
  <si>
    <t>5738-01</t>
  </si>
  <si>
    <t>5715-01</t>
  </si>
  <si>
    <t>5613-01</t>
  </si>
  <si>
    <t>7388-01</t>
  </si>
  <si>
    <t>7397-01</t>
  </si>
  <si>
    <t>7398-01</t>
  </si>
  <si>
    <t>7399-01</t>
  </si>
  <si>
    <t>7400-01</t>
  </si>
  <si>
    <t>PRINCIPAL</t>
  </si>
  <si>
    <t>2006-2006-991.0000</t>
  </si>
  <si>
    <t>1001-2071-922.0001</t>
  </si>
  <si>
    <t>4206-0000-991.0000</t>
  </si>
  <si>
    <t>2006-2006-991.0001</t>
  </si>
  <si>
    <t>2006-2006-991.0002</t>
  </si>
  <si>
    <t>5091-0000-300.2011</t>
  </si>
  <si>
    <t>5090-0000-300.2022</t>
  </si>
  <si>
    <t>5090-0000-300.2021</t>
  </si>
  <si>
    <t>5090-0000-300.2015</t>
  </si>
  <si>
    <t>5091-0000-300.2014</t>
  </si>
  <si>
    <t>5091-0000-300.2016</t>
  </si>
  <si>
    <t>5091-0000-300.2017</t>
  </si>
  <si>
    <t>5091-0000-300.2018</t>
  </si>
  <si>
    <t>5091-0000-300.2019</t>
  </si>
  <si>
    <t>INTEREST</t>
  </si>
  <si>
    <t>2006-2006-995.0000</t>
  </si>
  <si>
    <t>1001-2071-922.0002</t>
  </si>
  <si>
    <t>4206-0000-995.0000</t>
  </si>
  <si>
    <t>2006-2006-995.0001</t>
  </si>
  <si>
    <t>2006-2006-992.0002</t>
  </si>
  <si>
    <t>5091-5091-995.2011</t>
  </si>
  <si>
    <t>5090-5090-995.2022</t>
  </si>
  <si>
    <t>5090-5090-995.2021</t>
  </si>
  <si>
    <t>5090-5090-995.2015</t>
  </si>
  <si>
    <t>5091-5091-995.2012</t>
  </si>
  <si>
    <t>5091-5091-995.2016</t>
  </si>
  <si>
    <t>5091-5091-995.2017</t>
  </si>
  <si>
    <t>5091-5091-995.2018</t>
  </si>
  <si>
    <t>5091-5091-995.2019</t>
  </si>
  <si>
    <t>Date of issuance</t>
  </si>
  <si>
    <t>December 28, 2017</t>
  </si>
  <si>
    <t>July 1,2011</t>
  </si>
  <si>
    <t>December 1, 2011</t>
  </si>
  <si>
    <t>June 1, 2003</t>
  </si>
  <si>
    <t>April 1, 2004</t>
  </si>
  <si>
    <t>September 1, 2004</t>
  </si>
  <si>
    <t>October 30, 2018</t>
  </si>
  <si>
    <t>August 20, 2015</t>
  </si>
  <si>
    <t>July 22, 2019</t>
  </si>
  <si>
    <t>July 6, 2012</t>
  </si>
  <si>
    <t>July 1, 2018</t>
  </si>
  <si>
    <t>June 20, 2017</t>
  </si>
  <si>
    <t>April 8, 2011</t>
  </si>
  <si>
    <t>May 6, 2022</t>
  </si>
  <si>
    <t>Original Debt Amount</t>
  </si>
  <si>
    <t>$5,000,000 with loan forgiveness $1,013,563</t>
  </si>
  <si>
    <t>$4,030,000 with loan forgiveness $500,000</t>
  </si>
  <si>
    <t>$3,895,000 with loan forgiveness $500,000</t>
  </si>
  <si>
    <t>$2,990,000 with loan forgiveness $800,000</t>
  </si>
  <si>
    <t>Funding Source</t>
  </si>
  <si>
    <t>Fire Millage Refunding Bonds</t>
  </si>
  <si>
    <t>Fire Millage</t>
  </si>
  <si>
    <t>General Fund Operating</t>
  </si>
  <si>
    <t>Special Assessment</t>
  </si>
  <si>
    <t>Major Streets</t>
  </si>
  <si>
    <t>Motor Pool Fund-2015 Dump Trucks</t>
  </si>
  <si>
    <t>Fire Cap Proj Fund-Fire Truck</t>
  </si>
  <si>
    <t>Fire Fund-Fire Trucks</t>
  </si>
  <si>
    <t>Fire Fund-SCBA Equipment</t>
  </si>
  <si>
    <t>Fire Pumper Truck</t>
  </si>
  <si>
    <t>Water Fund-Usage Fees</t>
  </si>
  <si>
    <t>Sewer Fund  (SRF)</t>
  </si>
  <si>
    <t>Water Fund  (DWRF #1)</t>
  </si>
  <si>
    <t>Water Fund  (DWRF #2)</t>
  </si>
  <si>
    <t>Water Fund  (DWRF #3)</t>
  </si>
  <si>
    <t>Water Fund  (DWRF #4)</t>
  </si>
  <si>
    <t>Water Fund  (DWRF #5)</t>
  </si>
  <si>
    <t>Pledged Revenue</t>
  </si>
  <si>
    <t>Elga</t>
  </si>
  <si>
    <t>pnc</t>
  </si>
  <si>
    <t>Fenton Road Project</t>
  </si>
  <si>
    <t>Sewer Fund Revenue Pledged</t>
  </si>
  <si>
    <t>Water Fund Revenue Pledged</t>
  </si>
  <si>
    <t>Debt Type</t>
  </si>
  <si>
    <t>2017 General Obligation Bonds (Fire Hall)</t>
  </si>
  <si>
    <t>2011 General Obligation Bonds (Fire Hall)</t>
  </si>
  <si>
    <t>Bonds-Gilkey Creek and Branch Drainage District Burton @ 16.21799%</t>
  </si>
  <si>
    <t>Total Govt General Obligation Bonds</t>
  </si>
  <si>
    <t>Bonds-Projects P-03-01,SS-03-01,W-03-01
and W-03-01
(Series B)</t>
  </si>
  <si>
    <t>Bonds-Projects P-04-01,SS-04-01,W-04-01
and W-04-01</t>
  </si>
  <si>
    <t xml:space="preserve">Bonds-Projects P-04-2,SS-04-2,W-04-2,P-04-03
 P-04-3, and P-04-4 </t>
  </si>
  <si>
    <t>Total Special Assessment Debt</t>
  </si>
  <si>
    <t>State Infrastructure Bank Loan-Center Rd</t>
  </si>
  <si>
    <t>Installment Purchase Agreement</t>
  </si>
  <si>
    <t>Term Loan</t>
  </si>
  <si>
    <t>Capital Lease-Purchase</t>
  </si>
  <si>
    <t>Total Police &amp; Fire Capital Leases</t>
  </si>
  <si>
    <t>Total Govt Capital Leases</t>
  </si>
  <si>
    <t>Total Governmental Activities Debt</t>
  </si>
  <si>
    <t xml:space="preserve">2011 General Obligation Bonds (Fenton Rd. Watermain) </t>
  </si>
  <si>
    <t xml:space="preserve">Revenue Bonds-Sewage Disposal System </t>
  </si>
  <si>
    <t xml:space="preserve">Revenue Bonds-Water Supply/Sewage Disposal System </t>
  </si>
  <si>
    <t>Revenue Bonds-Water Supply/Sewage Disposal System - Series 1998</t>
  </si>
  <si>
    <t>Revenue Bonds-Water Supply/Sewage Disposal System-Series 1998</t>
  </si>
  <si>
    <t>Revenue Bonds-Water Supply/Sewage Disposal System  - Series 1998</t>
  </si>
  <si>
    <t>Total SRF Loan Debt</t>
  </si>
  <si>
    <t>Total DWRF Loan Debt</t>
  </si>
  <si>
    <t>Total Business-Type Activities Debt</t>
  </si>
  <si>
    <t>Total Debt</t>
  </si>
  <si>
    <t>Interest</t>
  </si>
  <si>
    <t>Principal</t>
  </si>
  <si>
    <t>$3,160,000 refunded on 12/28/17</t>
  </si>
  <si>
    <t>TOTALS</t>
  </si>
  <si>
    <t>Current</t>
  </si>
  <si>
    <t xml:space="preserve">Current </t>
  </si>
  <si>
    <t>Long-Term</t>
  </si>
  <si>
    <t>Long-term</t>
  </si>
  <si>
    <t>9051-0000-228.0000</t>
  </si>
  <si>
    <t>6061-0000-300.0000</t>
  </si>
  <si>
    <t>9051-0000-300.9004</t>
  </si>
  <si>
    <t>9051-0000-300.9001</t>
  </si>
  <si>
    <t>9051-0000-300.9002</t>
  </si>
  <si>
    <t>9051-0000-300.9003</t>
  </si>
  <si>
    <t>Accrued Interest</t>
  </si>
  <si>
    <t xml:space="preserve"> </t>
  </si>
  <si>
    <t xml:space="preserve"> -   </t>
  </si>
  <si>
    <t xml:space="preserve"> - </t>
  </si>
  <si>
    <t>Total Govt Accr Interest</t>
  </si>
  <si>
    <t>sewer total</t>
  </si>
  <si>
    <t>water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</si>
</sst>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&quot;$&quot;* #,##0_);_(&quot;$&quot;* \(#,##0\);_(&quot;$&quot;* &quot;-&quot;??_);_(@_)"/>
    <numFmt numFmtId="167" formatCode="0.0000000"/>
  </numFmts>
  <fonts count="11" x14ac:knownFonts="1">
    <font>
      <sz val="10"/>
      <name val="Arial"/>
    </font>
    <font>
      <sz val="10"/>
      <name val="Arial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9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left" wrapText="1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164" fontId="0" fillId="0" borderId="0" xfId="1" applyNumberFormat="1" applyFont="1" applyFill="1"/>
    <xf numFmtId="0" fontId="4" fillId="0" borderId="0" xfId="0" applyFont="1" applyAlignment="1">
      <alignment horizontal="center"/>
    </xf>
    <xf numFmtId="0" fontId="0" fillId="2" borderId="0" xfId="0" applyFill="1"/>
    <xf numFmtId="164" fontId="1" fillId="2" borderId="0" xfId="1" applyNumberFormat="1" applyFont="1" applyFill="1"/>
    <xf numFmtId="0" fontId="5" fillId="2" borderId="0" xfId="0" applyFont="1" applyFill="1"/>
    <xf numFmtId="0" fontId="5" fillId="0" borderId="0" xfId="0" applyFont="1"/>
    <xf numFmtId="37" fontId="5" fillId="0" borderId="0" xfId="0" applyNumberFormat="1" applyFont="1"/>
    <xf numFmtId="37" fontId="6" fillId="0" borderId="0" xfId="0" applyNumberFormat="1" applyFont="1"/>
    <xf numFmtId="1" fontId="5" fillId="0" borderId="0" xfId="0" applyNumberFormat="1" applyFont="1" applyAlignment="1">
      <alignment horizontal="right"/>
    </xf>
    <xf numFmtId="37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center"/>
    </xf>
    <xf numFmtId="37" fontId="3" fillId="0" borderId="1" xfId="0" quotePrefix="1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1" xfId="0" quotePrefix="1" applyNumberFormat="1" applyFont="1" applyBorder="1" applyAlignment="1">
      <alignment horizontal="left"/>
    </xf>
    <xf numFmtId="37" fontId="3" fillId="0" borderId="0" xfId="0" quotePrefix="1" applyNumberFormat="1" applyFont="1" applyAlignment="1">
      <alignment horizontal="left"/>
    </xf>
    <xf numFmtId="37" fontId="3" fillId="0" borderId="0" xfId="0" applyNumberFormat="1" applyFont="1"/>
    <xf numFmtId="165" fontId="3" fillId="0" borderId="2" xfId="0" applyNumberFormat="1" applyFont="1" applyBorder="1" applyAlignment="1">
      <alignment horizontal="left"/>
    </xf>
    <xf numFmtId="165" fontId="3" fillId="0" borderId="1" xfId="0" applyNumberFormat="1" applyFont="1" applyBorder="1"/>
    <xf numFmtId="37" fontId="3" fillId="0" borderId="1" xfId="0" applyNumberFormat="1" applyFont="1" applyBorder="1"/>
    <xf numFmtId="37" fontId="0" fillId="0" borderId="0" xfId="0" applyNumberFormat="1"/>
    <xf numFmtId="166" fontId="3" fillId="0" borderId="1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6" fontId="0" fillId="0" borderId="0" xfId="2" applyNumberFormat="1" applyFont="1" applyFill="1"/>
    <xf numFmtId="166" fontId="3" fillId="0" borderId="1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/>
    <xf numFmtId="1" fontId="3" fillId="0" borderId="1" xfId="2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/>
    <xf numFmtId="37" fontId="3" fillId="0" borderId="1" xfId="0" applyNumberFormat="1" applyFont="1" applyBorder="1" applyAlignment="1">
      <alignment horizontal="left"/>
    </xf>
    <xf numFmtId="44" fontId="3" fillId="0" borderId="1" xfId="2" applyFont="1" applyFill="1" applyBorder="1" applyAlignment="1">
      <alignment horizontal="left"/>
    </xf>
    <xf numFmtId="37" fontId="3" fillId="0" borderId="1" xfId="0" applyNumberFormat="1" applyFont="1" applyBorder="1" applyAlignment="1">
      <alignment horizontal="left" wrapText="1"/>
    </xf>
    <xf numFmtId="37" fontId="3" fillId="2" borderId="1" xfId="0" applyNumberFormat="1" applyFont="1" applyFill="1" applyBorder="1" applyAlignment="1">
      <alignment horizontal="left" wrapText="1"/>
    </xf>
    <xf numFmtId="37" fontId="3" fillId="0" borderId="2" xfId="0" applyNumberFormat="1" applyFont="1" applyBorder="1" applyAlignment="1">
      <alignment horizontal="left" wrapText="1"/>
    </xf>
    <xf numFmtId="37" fontId="3" fillId="2" borderId="1" xfId="0" applyNumberFormat="1" applyFont="1" applyFill="1" applyBorder="1" applyAlignment="1">
      <alignment horizontal="left"/>
    </xf>
    <xf numFmtId="37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37" fontId="0" fillId="0" borderId="1" xfId="0" applyNumberFormat="1" applyBorder="1"/>
    <xf numFmtId="37" fontId="3" fillId="0" borderId="1" xfId="0" applyNumberFormat="1" applyFont="1" applyBorder="1" applyAlignment="1">
      <alignment horizontal="left" wrapText="1"/>
    </xf>
    <xf numFmtId="0" fontId="0" fillId="3" borderId="0" xfId="0" applyFill="1"/>
    <xf numFmtId="37" fontId="7" fillId="0" borderId="1" xfId="0" applyNumberFormat="1" applyFont="1" applyBorder="1" applyAlignment="1">
      <alignment horizontal="center" wrapText="1"/>
    </xf>
    <xf numFmtId="37" fontId="7" fillId="0" borderId="1" xfId="0" applyNumberFormat="1" applyFont="1" applyBorder="1" applyAlignment="1">
      <alignment horizontal="left" wrapText="1"/>
    </xf>
    <xf numFmtId="37" fontId="7" fillId="4" borderId="1" xfId="0" applyNumberFormat="1" applyFont="1" applyFill="1" applyBorder="1" applyAlignment="1">
      <alignment horizontal="left"/>
    </xf>
    <xf numFmtId="37" fontId="7" fillId="0" borderId="1" xfId="0" applyNumberFormat="1" applyFont="1" applyBorder="1" applyAlignment="1">
      <alignment horizontal="left"/>
    </xf>
    <xf numFmtId="37" fontId="7" fillId="0" borderId="2" xfId="0" applyNumberFormat="1" applyFont="1" applyBorder="1" applyAlignment="1">
      <alignment horizontal="left" wrapText="1"/>
    </xf>
    <xf numFmtId="37" fontId="7" fillId="0" borderId="2" xfId="0" applyNumberFormat="1" applyFont="1" applyBorder="1" applyAlignment="1">
      <alignment horizontal="center"/>
    </xf>
    <xf numFmtId="37" fontId="7" fillId="4" borderId="2" xfId="0" applyNumberFormat="1" applyFont="1" applyFill="1" applyBorder="1" applyAlignment="1">
      <alignment horizontal="center"/>
    </xf>
    <xf numFmtId="37" fontId="7" fillId="0" borderId="2" xfId="0" applyNumberFormat="1" applyFont="1" applyBorder="1" applyAlignment="1">
      <alignment horizontal="center" wrapText="1"/>
    </xf>
    <xf numFmtId="37" fontId="7" fillId="4" borderId="1" xfId="0" applyNumberFormat="1" applyFont="1" applyFill="1" applyBorder="1" applyAlignment="1">
      <alignment horizontal="center" wrapText="1"/>
    </xf>
    <xf numFmtId="37" fontId="0" fillId="4" borderId="0" xfId="0" applyNumberFormat="1" applyFill="1"/>
    <xf numFmtId="37" fontId="8" fillId="0" borderId="0" xfId="0" applyNumberFormat="1" applyFont="1" applyAlignment="1">
      <alignment horizontal="center"/>
    </xf>
    <xf numFmtId="37" fontId="8" fillId="4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4" fontId="0" fillId="0" borderId="0" xfId="2" applyFont="1" applyFill="1"/>
    <xf numFmtId="166" fontId="0" fillId="0" borderId="0" xfId="0" applyNumberFormat="1"/>
    <xf numFmtId="164" fontId="5" fillId="0" borderId="0" xfId="1" applyNumberFormat="1" applyFont="1" applyFill="1"/>
    <xf numFmtId="166" fontId="5" fillId="0" borderId="0" xfId="2" applyNumberFormat="1" applyFont="1" applyFill="1"/>
    <xf numFmtId="41" fontId="0" fillId="0" borderId="0" xfId="1" applyNumberFormat="1" applyFont="1" applyFill="1"/>
    <xf numFmtId="41" fontId="5" fillId="0" borderId="0" xfId="1" applyNumberFormat="1" applyFont="1" applyFill="1"/>
    <xf numFmtId="37" fontId="5" fillId="0" borderId="0" xfId="0" applyNumberFormat="1" applyFont="1" applyAlignment="1">
      <alignment horizontal="center"/>
    </xf>
    <xf numFmtId="5" fontId="0" fillId="0" borderId="0" xfId="0" applyNumberFormat="1"/>
    <xf numFmtId="166" fontId="5" fillId="0" borderId="0" xfId="1" applyNumberFormat="1" applyFont="1" applyFill="1"/>
    <xf numFmtId="5" fontId="0" fillId="4" borderId="0" xfId="0" applyNumberFormat="1" applyFill="1"/>
    <xf numFmtId="43" fontId="0" fillId="0" borderId="0" xfId="1" applyFont="1" applyFill="1"/>
    <xf numFmtId="5" fontId="5" fillId="0" borderId="0" xfId="0" applyNumberFormat="1" applyFont="1" applyAlignment="1">
      <alignment horizontal="center"/>
    </xf>
    <xf numFmtId="5" fontId="5" fillId="0" borderId="0" xfId="0" applyNumberFormat="1" applyFont="1"/>
    <xf numFmtId="43" fontId="0" fillId="0" borderId="0" xfId="1" applyFont="1" applyFill="1" applyAlignment="1">
      <alignment horizontal="center"/>
    </xf>
    <xf numFmtId="0" fontId="0" fillId="4" borderId="0" xfId="0" applyFill="1"/>
    <xf numFmtId="0" fontId="3" fillId="0" borderId="0" xfId="0" applyFont="1" applyAlignment="1">
      <alignment horizontal="center"/>
    </xf>
    <xf numFmtId="0" fontId="9" fillId="3" borderId="0" xfId="0" applyFont="1" applyFill="1"/>
    <xf numFmtId="5" fontId="3" fillId="0" borderId="3" xfId="0" applyNumberFormat="1" applyFont="1" applyBorder="1"/>
    <xf numFmtId="5" fontId="3" fillId="4" borderId="3" xfId="0" applyNumberFormat="1" applyFont="1" applyFill="1" applyBorder="1"/>
    <xf numFmtId="0" fontId="9" fillId="0" borderId="0" xfId="0" applyFont="1"/>
    <xf numFmtId="166" fontId="3" fillId="0" borderId="3" xfId="0" applyNumberFormat="1" applyFont="1" applyBorder="1"/>
    <xf numFmtId="37" fontId="0" fillId="0" borderId="4" xfId="0" applyNumberFormat="1" applyBorder="1"/>
    <xf numFmtId="0" fontId="3" fillId="0" borderId="0" xfId="0" applyFont="1"/>
    <xf numFmtId="44" fontId="0" fillId="0" borderId="4" xfId="0" applyNumberFormat="1" applyBorder="1"/>
    <xf numFmtId="166" fontId="0" fillId="0" borderId="4" xfId="0" applyNumberFormat="1" applyBorder="1"/>
    <xf numFmtId="166" fontId="0" fillId="4" borderId="0" xfId="0" applyNumberFormat="1" applyFill="1"/>
    <xf numFmtId="5" fontId="5" fillId="4" borderId="0" xfId="0" applyNumberFormat="1" applyFont="1" applyFill="1"/>
    <xf numFmtId="5" fontId="0" fillId="4" borderId="1" xfId="0" applyNumberFormat="1" applyFill="1" applyBorder="1"/>
    <xf numFmtId="5" fontId="0" fillId="0" borderId="1" xfId="0" applyNumberFormat="1" applyBorder="1"/>
    <xf numFmtId="5" fontId="0" fillId="5" borderId="0" xfId="0" applyNumberFormat="1" applyFill="1"/>
    <xf numFmtId="44" fontId="0" fillId="0" borderId="0" xfId="0" applyNumberFormat="1"/>
    <xf numFmtId="166" fontId="0" fillId="5" borderId="0" xfId="0" applyNumberForma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5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0" fillId="6" borderId="0" xfId="0" applyFill="1"/>
    <xf numFmtId="0" fontId="2" fillId="4" borderId="0" xfId="0" applyFont="1" applyFill="1"/>
    <xf numFmtId="3" fontId="2" fillId="4" borderId="0" xfId="0" applyNumberFormat="1" applyFont="1" applyFill="1"/>
    <xf numFmtId="0" fontId="0" fillId="0" borderId="0" xfId="0"/>
    <xf numFmtId="0" fontId="2" fillId="0" borderId="0" xfId="0" applyFont="1" applyAlignment="1">
      <alignment horizontal="center"/>
    </xf>
    <xf numFmtId="0" fontId="10" fillId="0" borderId="0" xfId="0" applyFont="1"/>
    <xf numFmtId="167" fontId="2" fillId="0" borderId="0" xfId="0" applyNumberFormat="1" applyFont="1" applyAlignment="1">
      <alignment horizontal="right"/>
    </xf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E34F-F320-4F4D-9D05-52D69D85B00A}">
  <sheetPr>
    <pageSetUpPr fitToPage="1"/>
  </sheetPr>
  <dimension ref="A1:DZ54"/>
  <sheetViews>
    <sheetView tabSelected="1" zoomScale="85" zoomScaleNormal="85" workbookViewId="0">
      <pane xSplit="1" topLeftCell="B1" activePane="topRight" state="frozen"/>
      <selection activeCell="A2" sqref="A2"/>
      <selection pane="topRight" activeCell="E40" sqref="E40"/>
    </sheetView>
  </sheetViews>
  <sheetFormatPr defaultRowHeight="12.75" x14ac:dyDescent="0.2"/>
  <cols>
    <col min="1" max="1" width="18.42578125" customWidth="1"/>
    <col min="2" max="2" width="1.28515625" customWidth="1"/>
    <col min="3" max="3" width="13.7109375" customWidth="1"/>
    <col min="4" max="4" width="11.28515625" bestFit="1" customWidth="1"/>
    <col min="5" max="5" width="10.7109375" customWidth="1"/>
    <col min="6" max="6" width="1.28515625" hidden="1" customWidth="1"/>
    <col min="7" max="7" width="12.5703125" hidden="1" customWidth="1"/>
    <col min="8" max="9" width="12.28515625" hidden="1" customWidth="1"/>
    <col min="10" max="10" width="1.28515625" hidden="1" customWidth="1"/>
    <col min="11" max="11" width="17.5703125" hidden="1" customWidth="1"/>
    <col min="12" max="12" width="12.7109375" hidden="1" customWidth="1"/>
    <col min="13" max="13" width="12.5703125" hidden="1" customWidth="1"/>
    <col min="14" max="14" width="1.28515625" customWidth="1"/>
    <col min="15" max="15" width="14.140625" hidden="1" customWidth="1"/>
    <col min="16" max="16" width="13.28515625" hidden="1" customWidth="1"/>
    <col min="17" max="17" width="12.85546875" hidden="1" customWidth="1"/>
    <col min="18" max="18" width="1.42578125" hidden="1" customWidth="1"/>
    <col min="19" max="19" width="11" customWidth="1"/>
    <col min="20" max="20" width="10.42578125" customWidth="1"/>
    <col min="21" max="21" width="11.5703125" customWidth="1"/>
    <col min="22" max="22" width="1.42578125" hidden="1" customWidth="1"/>
    <col min="23" max="23" width="11.140625" hidden="1" customWidth="1"/>
    <col min="24" max="24" width="9.42578125" hidden="1" customWidth="1"/>
    <col min="25" max="25" width="10.42578125" hidden="1" customWidth="1"/>
    <col min="26" max="26" width="1.85546875" hidden="1" customWidth="1"/>
    <col min="27" max="27" width="11.140625" hidden="1" customWidth="1"/>
    <col min="28" max="28" width="10.140625" hidden="1" customWidth="1"/>
    <col min="29" max="29" width="10.5703125" hidden="1" customWidth="1"/>
    <col min="30" max="30" width="1.42578125" hidden="1" customWidth="1"/>
    <col min="31" max="31" width="11.7109375" hidden="1" customWidth="1"/>
    <col min="32" max="32" width="11" hidden="1" customWidth="1"/>
    <col min="33" max="33" width="11.140625" hidden="1" customWidth="1"/>
    <col min="34" max="34" width="1.42578125" hidden="1" customWidth="1"/>
    <col min="35" max="35" width="10.5703125" hidden="1" customWidth="1"/>
    <col min="36" max="37" width="11.7109375" hidden="1" customWidth="1"/>
    <col min="38" max="38" width="1.28515625" hidden="1" customWidth="1"/>
    <col min="39" max="39" width="11.7109375" hidden="1" customWidth="1"/>
    <col min="40" max="40" width="9.85546875" hidden="1" customWidth="1"/>
    <col min="41" max="41" width="11.7109375" hidden="1" customWidth="1"/>
    <col min="42" max="42" width="1.28515625" hidden="1" customWidth="1"/>
    <col min="43" max="43" width="11.140625" hidden="1" customWidth="1"/>
    <col min="44" max="44" width="10.42578125" hidden="1" customWidth="1"/>
    <col min="45" max="45" width="11" hidden="1" customWidth="1"/>
    <col min="46" max="46" width="1.28515625" customWidth="1"/>
    <col min="47" max="47" width="11.7109375" customWidth="1"/>
    <col min="48" max="48" width="10.85546875" customWidth="1"/>
    <col min="49" max="49" width="11" customWidth="1"/>
    <col min="50" max="50" width="1.140625" customWidth="1"/>
    <col min="51" max="52" width="10.85546875" customWidth="1"/>
    <col min="53" max="53" width="11" customWidth="1"/>
    <col min="54" max="54" width="1.5703125" customWidth="1"/>
    <col min="55" max="55" width="10.7109375" customWidth="1"/>
    <col min="56" max="56" width="10.140625" customWidth="1"/>
    <col min="57" max="57" width="10.5703125" customWidth="1"/>
    <col min="58" max="58" width="2.140625" customWidth="1"/>
    <col min="59" max="59" width="10.85546875" customWidth="1"/>
    <col min="60" max="60" width="10.28515625" customWidth="1"/>
    <col min="61" max="61" width="10.42578125" customWidth="1"/>
    <col min="62" max="62" width="1.85546875" customWidth="1"/>
    <col min="63" max="63" width="10.140625" hidden="1" customWidth="1"/>
    <col min="64" max="64" width="10.42578125" hidden="1" customWidth="1"/>
    <col min="65" max="65" width="9.85546875" hidden="1" customWidth="1"/>
    <col min="66" max="66" width="1.140625" hidden="1" customWidth="1"/>
    <col min="67" max="68" width="10.28515625" hidden="1" customWidth="1"/>
    <col min="69" max="69" width="10.5703125" hidden="1" customWidth="1"/>
    <col min="70" max="70" width="1.140625" hidden="1" customWidth="1"/>
    <col min="71" max="71" width="11.28515625" hidden="1" customWidth="1"/>
    <col min="72" max="72" width="10.140625" hidden="1" customWidth="1"/>
    <col min="73" max="73" width="11.7109375" hidden="1" customWidth="1"/>
    <col min="74" max="74" width="1.140625" hidden="1" customWidth="1"/>
    <col min="75" max="75" width="11.7109375" customWidth="1"/>
    <col min="76" max="76" width="10.140625" customWidth="1"/>
    <col min="77" max="77" width="11.7109375" customWidth="1"/>
    <col min="78" max="78" width="1.140625" customWidth="1"/>
    <col min="79" max="80" width="10.85546875" customWidth="1"/>
    <col min="81" max="81" width="10.7109375" customWidth="1"/>
    <col min="82" max="82" width="1.140625" customWidth="1"/>
    <col min="83" max="83" width="10" customWidth="1"/>
    <col min="84" max="84" width="9.85546875" customWidth="1"/>
    <col min="85" max="85" width="10.42578125" customWidth="1"/>
    <col min="86" max="86" width="1.140625" customWidth="1"/>
    <col min="87" max="87" width="10" customWidth="1"/>
    <col min="88" max="88" width="9.85546875" customWidth="1"/>
    <col min="89" max="89" width="10.85546875" bestFit="1" customWidth="1"/>
    <col min="90" max="90" width="1.42578125" customWidth="1"/>
    <col min="91" max="91" width="12.140625" customWidth="1"/>
    <col min="92" max="92" width="10.7109375" style="2" customWidth="1"/>
    <col min="93" max="93" width="14.42578125" customWidth="1"/>
    <col min="94" max="94" width="1.7109375" customWidth="1"/>
    <col min="95" max="95" width="11.28515625" customWidth="1"/>
    <col min="96" max="96" width="11.5703125" bestFit="1" customWidth="1"/>
    <col min="97" max="97" width="12.42578125" customWidth="1"/>
    <col min="98" max="98" width="1.7109375" customWidth="1"/>
    <col min="99" max="99" width="13.42578125" customWidth="1"/>
    <col min="100" max="100" width="11.140625" customWidth="1"/>
    <col min="101" max="101" width="11.28515625" customWidth="1"/>
    <col min="102" max="102" width="1.5703125" customWidth="1"/>
    <col min="103" max="103" width="14.42578125" customWidth="1"/>
    <col min="104" max="104" width="10.85546875" customWidth="1"/>
    <col min="105" max="105" width="13.5703125" customWidth="1"/>
    <col min="106" max="106" width="1.42578125" customWidth="1"/>
    <col min="107" max="107" width="15.28515625" customWidth="1"/>
    <col min="108" max="108" width="11.5703125" customWidth="1"/>
    <col min="109" max="109" width="14.28515625" customWidth="1"/>
    <col min="110" max="110" width="1.5703125" customWidth="1"/>
    <col min="111" max="111" width="16" customWidth="1"/>
    <col min="112" max="112" width="11.28515625" customWidth="1"/>
    <col min="113" max="113" width="13.5703125" customWidth="1"/>
    <col min="114" max="114" width="1.5703125" customWidth="1"/>
    <col min="115" max="115" width="15.140625" customWidth="1"/>
    <col min="116" max="116" width="11.7109375" customWidth="1"/>
    <col min="117" max="117" width="13.7109375" customWidth="1"/>
    <col min="118" max="118" width="1.42578125" customWidth="1"/>
    <col min="119" max="121" width="12.28515625" bestFit="1" customWidth="1"/>
    <col min="122" max="122" width="1.28515625" customWidth="1"/>
    <col min="123" max="125" width="12.28515625" bestFit="1" customWidth="1"/>
    <col min="126" max="126" width="1.42578125" customWidth="1"/>
    <col min="127" max="127" width="11.7109375" customWidth="1"/>
    <col min="128" max="128" width="12.28515625" bestFit="1" customWidth="1"/>
    <col min="129" max="129" width="11.7109375" customWidth="1"/>
    <col min="130" max="130" width="1.42578125" customWidth="1"/>
    <col min="257" max="257" width="18.42578125" customWidth="1"/>
    <col min="258" max="258" width="1.28515625" customWidth="1"/>
    <col min="259" max="259" width="13.7109375" customWidth="1"/>
    <col min="260" max="260" width="11.28515625" bestFit="1" customWidth="1"/>
    <col min="261" max="261" width="10.7109375" customWidth="1"/>
    <col min="262" max="269" width="0" hidden="1" customWidth="1"/>
    <col min="270" max="270" width="1.28515625" customWidth="1"/>
    <col min="271" max="274" width="0" hidden="1" customWidth="1"/>
    <col min="275" max="275" width="11" customWidth="1"/>
    <col min="276" max="276" width="10.42578125" customWidth="1"/>
    <col min="277" max="277" width="11.5703125" customWidth="1"/>
    <col min="278" max="301" width="0" hidden="1" customWidth="1"/>
    <col min="302" max="302" width="1.28515625" customWidth="1"/>
    <col min="303" max="303" width="11.7109375" customWidth="1"/>
    <col min="304" max="304" width="10.85546875" customWidth="1"/>
    <col min="305" max="305" width="11" customWidth="1"/>
    <col min="306" max="306" width="1.140625" customWidth="1"/>
    <col min="307" max="308" width="10.85546875" customWidth="1"/>
    <col min="309" max="309" width="11" customWidth="1"/>
    <col min="310" max="310" width="1.5703125" customWidth="1"/>
    <col min="311" max="311" width="10.7109375" customWidth="1"/>
    <col min="312" max="312" width="10.140625" customWidth="1"/>
    <col min="313" max="313" width="10.5703125" customWidth="1"/>
    <col min="314" max="314" width="2.140625" customWidth="1"/>
    <col min="315" max="315" width="10.85546875" customWidth="1"/>
    <col min="316" max="316" width="10.28515625" customWidth="1"/>
    <col min="317" max="317" width="10.42578125" customWidth="1"/>
    <col min="318" max="318" width="1.85546875" customWidth="1"/>
    <col min="319" max="330" width="0" hidden="1" customWidth="1"/>
    <col min="331" max="331" width="11.7109375" customWidth="1"/>
    <col min="332" max="332" width="10.140625" customWidth="1"/>
    <col min="333" max="333" width="11.7109375" customWidth="1"/>
    <col min="334" max="334" width="1.140625" customWidth="1"/>
    <col min="335" max="336" width="10.85546875" customWidth="1"/>
    <col min="337" max="337" width="10.7109375" customWidth="1"/>
    <col min="338" max="338" width="1.140625" customWidth="1"/>
    <col min="339" max="339" width="10" customWidth="1"/>
    <col min="340" max="340" width="9.85546875" customWidth="1"/>
    <col min="341" max="341" width="10.42578125" customWidth="1"/>
    <col min="342" max="342" width="1.140625" customWidth="1"/>
    <col min="343" max="343" width="10" customWidth="1"/>
    <col min="344" max="344" width="9.85546875" customWidth="1"/>
    <col min="345" max="345" width="10.85546875" bestFit="1" customWidth="1"/>
    <col min="346" max="346" width="1.42578125" customWidth="1"/>
    <col min="347" max="347" width="12.140625" customWidth="1"/>
    <col min="348" max="348" width="10.7109375" customWidth="1"/>
    <col min="349" max="349" width="14.42578125" customWidth="1"/>
    <col min="350" max="350" width="1.7109375" customWidth="1"/>
    <col min="351" max="351" width="11.28515625" customWidth="1"/>
    <col min="352" max="352" width="11.5703125" bestFit="1" customWidth="1"/>
    <col min="353" max="353" width="12.42578125" customWidth="1"/>
    <col min="354" max="354" width="1.7109375" customWidth="1"/>
    <col min="355" max="355" width="13.42578125" customWidth="1"/>
    <col min="356" max="356" width="11.140625" customWidth="1"/>
    <col min="357" max="357" width="11.28515625" customWidth="1"/>
    <col min="358" max="358" width="1.5703125" customWidth="1"/>
    <col min="359" max="359" width="14.42578125" customWidth="1"/>
    <col min="360" max="360" width="10.85546875" customWidth="1"/>
    <col min="361" max="361" width="13.5703125" customWidth="1"/>
    <col min="362" max="362" width="1.42578125" customWidth="1"/>
    <col min="363" max="363" width="15.28515625" customWidth="1"/>
    <col min="364" max="364" width="11.5703125" customWidth="1"/>
    <col min="365" max="365" width="14.28515625" customWidth="1"/>
    <col min="366" max="366" width="1.5703125" customWidth="1"/>
    <col min="367" max="367" width="16" customWidth="1"/>
    <col min="368" max="368" width="11.28515625" customWidth="1"/>
    <col min="369" max="369" width="13.5703125" customWidth="1"/>
    <col min="370" max="370" width="1.5703125" customWidth="1"/>
    <col min="371" max="371" width="15.140625" customWidth="1"/>
    <col min="372" max="372" width="11.7109375" customWidth="1"/>
    <col min="373" max="373" width="13.7109375" customWidth="1"/>
    <col min="374" max="374" width="1.42578125" customWidth="1"/>
    <col min="375" max="377" width="12.28515625" bestFit="1" customWidth="1"/>
    <col min="378" max="378" width="1.28515625" customWidth="1"/>
    <col min="379" max="381" width="12.28515625" bestFit="1" customWidth="1"/>
    <col min="382" max="382" width="1.42578125" customWidth="1"/>
    <col min="383" max="383" width="11.7109375" customWidth="1"/>
    <col min="384" max="384" width="12.28515625" bestFit="1" customWidth="1"/>
    <col min="385" max="385" width="11.7109375" customWidth="1"/>
    <col min="386" max="386" width="1.42578125" customWidth="1"/>
    <col min="513" max="513" width="18.42578125" customWidth="1"/>
    <col min="514" max="514" width="1.28515625" customWidth="1"/>
    <col min="515" max="515" width="13.7109375" customWidth="1"/>
    <col min="516" max="516" width="11.28515625" bestFit="1" customWidth="1"/>
    <col min="517" max="517" width="10.7109375" customWidth="1"/>
    <col min="518" max="525" width="0" hidden="1" customWidth="1"/>
    <col min="526" max="526" width="1.28515625" customWidth="1"/>
    <col min="527" max="530" width="0" hidden="1" customWidth="1"/>
    <col min="531" max="531" width="11" customWidth="1"/>
    <col min="532" max="532" width="10.42578125" customWidth="1"/>
    <col min="533" max="533" width="11.5703125" customWidth="1"/>
    <col min="534" max="557" width="0" hidden="1" customWidth="1"/>
    <col min="558" max="558" width="1.28515625" customWidth="1"/>
    <col min="559" max="559" width="11.7109375" customWidth="1"/>
    <col min="560" max="560" width="10.85546875" customWidth="1"/>
    <col min="561" max="561" width="11" customWidth="1"/>
    <col min="562" max="562" width="1.140625" customWidth="1"/>
    <col min="563" max="564" width="10.85546875" customWidth="1"/>
    <col min="565" max="565" width="11" customWidth="1"/>
    <col min="566" max="566" width="1.5703125" customWidth="1"/>
    <col min="567" max="567" width="10.7109375" customWidth="1"/>
    <col min="568" max="568" width="10.140625" customWidth="1"/>
    <col min="569" max="569" width="10.5703125" customWidth="1"/>
    <col min="570" max="570" width="2.140625" customWidth="1"/>
    <col min="571" max="571" width="10.85546875" customWidth="1"/>
    <col min="572" max="572" width="10.28515625" customWidth="1"/>
    <col min="573" max="573" width="10.42578125" customWidth="1"/>
    <col min="574" max="574" width="1.85546875" customWidth="1"/>
    <col min="575" max="586" width="0" hidden="1" customWidth="1"/>
    <col min="587" max="587" width="11.7109375" customWidth="1"/>
    <col min="588" max="588" width="10.140625" customWidth="1"/>
    <col min="589" max="589" width="11.7109375" customWidth="1"/>
    <col min="590" max="590" width="1.140625" customWidth="1"/>
    <col min="591" max="592" width="10.85546875" customWidth="1"/>
    <col min="593" max="593" width="10.7109375" customWidth="1"/>
    <col min="594" max="594" width="1.140625" customWidth="1"/>
    <col min="595" max="595" width="10" customWidth="1"/>
    <col min="596" max="596" width="9.85546875" customWidth="1"/>
    <col min="597" max="597" width="10.42578125" customWidth="1"/>
    <col min="598" max="598" width="1.140625" customWidth="1"/>
    <col min="599" max="599" width="10" customWidth="1"/>
    <col min="600" max="600" width="9.85546875" customWidth="1"/>
    <col min="601" max="601" width="10.85546875" bestFit="1" customWidth="1"/>
    <col min="602" max="602" width="1.42578125" customWidth="1"/>
    <col min="603" max="603" width="12.140625" customWidth="1"/>
    <col min="604" max="604" width="10.7109375" customWidth="1"/>
    <col min="605" max="605" width="14.42578125" customWidth="1"/>
    <col min="606" max="606" width="1.7109375" customWidth="1"/>
    <col min="607" max="607" width="11.28515625" customWidth="1"/>
    <col min="608" max="608" width="11.5703125" bestFit="1" customWidth="1"/>
    <col min="609" max="609" width="12.42578125" customWidth="1"/>
    <col min="610" max="610" width="1.7109375" customWidth="1"/>
    <col min="611" max="611" width="13.42578125" customWidth="1"/>
    <col min="612" max="612" width="11.140625" customWidth="1"/>
    <col min="613" max="613" width="11.28515625" customWidth="1"/>
    <col min="614" max="614" width="1.5703125" customWidth="1"/>
    <col min="615" max="615" width="14.42578125" customWidth="1"/>
    <col min="616" max="616" width="10.85546875" customWidth="1"/>
    <col min="617" max="617" width="13.5703125" customWidth="1"/>
    <col min="618" max="618" width="1.42578125" customWidth="1"/>
    <col min="619" max="619" width="15.28515625" customWidth="1"/>
    <col min="620" max="620" width="11.5703125" customWidth="1"/>
    <col min="621" max="621" width="14.28515625" customWidth="1"/>
    <col min="622" max="622" width="1.5703125" customWidth="1"/>
    <col min="623" max="623" width="16" customWidth="1"/>
    <col min="624" max="624" width="11.28515625" customWidth="1"/>
    <col min="625" max="625" width="13.5703125" customWidth="1"/>
    <col min="626" max="626" width="1.5703125" customWidth="1"/>
    <col min="627" max="627" width="15.140625" customWidth="1"/>
    <col min="628" max="628" width="11.7109375" customWidth="1"/>
    <col min="629" max="629" width="13.7109375" customWidth="1"/>
    <col min="630" max="630" width="1.42578125" customWidth="1"/>
    <col min="631" max="633" width="12.28515625" bestFit="1" customWidth="1"/>
    <col min="634" max="634" width="1.28515625" customWidth="1"/>
    <col min="635" max="637" width="12.28515625" bestFit="1" customWidth="1"/>
    <col min="638" max="638" width="1.42578125" customWidth="1"/>
    <col min="639" max="639" width="11.7109375" customWidth="1"/>
    <col min="640" max="640" width="12.28515625" bestFit="1" customWidth="1"/>
    <col min="641" max="641" width="11.7109375" customWidth="1"/>
    <col min="642" max="642" width="1.42578125" customWidth="1"/>
    <col min="769" max="769" width="18.42578125" customWidth="1"/>
    <col min="770" max="770" width="1.28515625" customWidth="1"/>
    <col min="771" max="771" width="13.7109375" customWidth="1"/>
    <col min="772" max="772" width="11.28515625" bestFit="1" customWidth="1"/>
    <col min="773" max="773" width="10.7109375" customWidth="1"/>
    <col min="774" max="781" width="0" hidden="1" customWidth="1"/>
    <col min="782" max="782" width="1.28515625" customWidth="1"/>
    <col min="783" max="786" width="0" hidden="1" customWidth="1"/>
    <col min="787" max="787" width="11" customWidth="1"/>
    <col min="788" max="788" width="10.42578125" customWidth="1"/>
    <col min="789" max="789" width="11.5703125" customWidth="1"/>
    <col min="790" max="813" width="0" hidden="1" customWidth="1"/>
    <col min="814" max="814" width="1.28515625" customWidth="1"/>
    <col min="815" max="815" width="11.7109375" customWidth="1"/>
    <col min="816" max="816" width="10.85546875" customWidth="1"/>
    <col min="817" max="817" width="11" customWidth="1"/>
    <col min="818" max="818" width="1.140625" customWidth="1"/>
    <col min="819" max="820" width="10.85546875" customWidth="1"/>
    <col min="821" max="821" width="11" customWidth="1"/>
    <col min="822" max="822" width="1.5703125" customWidth="1"/>
    <col min="823" max="823" width="10.7109375" customWidth="1"/>
    <col min="824" max="824" width="10.140625" customWidth="1"/>
    <col min="825" max="825" width="10.5703125" customWidth="1"/>
    <col min="826" max="826" width="2.140625" customWidth="1"/>
    <col min="827" max="827" width="10.85546875" customWidth="1"/>
    <col min="828" max="828" width="10.28515625" customWidth="1"/>
    <col min="829" max="829" width="10.42578125" customWidth="1"/>
    <col min="830" max="830" width="1.85546875" customWidth="1"/>
    <col min="831" max="842" width="0" hidden="1" customWidth="1"/>
    <col min="843" max="843" width="11.7109375" customWidth="1"/>
    <col min="844" max="844" width="10.140625" customWidth="1"/>
    <col min="845" max="845" width="11.7109375" customWidth="1"/>
    <col min="846" max="846" width="1.140625" customWidth="1"/>
    <col min="847" max="848" width="10.85546875" customWidth="1"/>
    <col min="849" max="849" width="10.7109375" customWidth="1"/>
    <col min="850" max="850" width="1.140625" customWidth="1"/>
    <col min="851" max="851" width="10" customWidth="1"/>
    <col min="852" max="852" width="9.85546875" customWidth="1"/>
    <col min="853" max="853" width="10.42578125" customWidth="1"/>
    <col min="854" max="854" width="1.140625" customWidth="1"/>
    <col min="855" max="855" width="10" customWidth="1"/>
    <col min="856" max="856" width="9.85546875" customWidth="1"/>
    <col min="857" max="857" width="10.85546875" bestFit="1" customWidth="1"/>
    <col min="858" max="858" width="1.42578125" customWidth="1"/>
    <col min="859" max="859" width="12.140625" customWidth="1"/>
    <col min="860" max="860" width="10.7109375" customWidth="1"/>
    <col min="861" max="861" width="14.42578125" customWidth="1"/>
    <col min="862" max="862" width="1.7109375" customWidth="1"/>
    <col min="863" max="863" width="11.28515625" customWidth="1"/>
    <col min="864" max="864" width="11.5703125" bestFit="1" customWidth="1"/>
    <col min="865" max="865" width="12.42578125" customWidth="1"/>
    <col min="866" max="866" width="1.7109375" customWidth="1"/>
    <col min="867" max="867" width="13.42578125" customWidth="1"/>
    <col min="868" max="868" width="11.140625" customWidth="1"/>
    <col min="869" max="869" width="11.28515625" customWidth="1"/>
    <col min="870" max="870" width="1.5703125" customWidth="1"/>
    <col min="871" max="871" width="14.42578125" customWidth="1"/>
    <col min="872" max="872" width="10.85546875" customWidth="1"/>
    <col min="873" max="873" width="13.5703125" customWidth="1"/>
    <col min="874" max="874" width="1.42578125" customWidth="1"/>
    <col min="875" max="875" width="15.28515625" customWidth="1"/>
    <col min="876" max="876" width="11.5703125" customWidth="1"/>
    <col min="877" max="877" width="14.28515625" customWidth="1"/>
    <col min="878" max="878" width="1.5703125" customWidth="1"/>
    <col min="879" max="879" width="16" customWidth="1"/>
    <col min="880" max="880" width="11.28515625" customWidth="1"/>
    <col min="881" max="881" width="13.5703125" customWidth="1"/>
    <col min="882" max="882" width="1.5703125" customWidth="1"/>
    <col min="883" max="883" width="15.140625" customWidth="1"/>
    <col min="884" max="884" width="11.7109375" customWidth="1"/>
    <col min="885" max="885" width="13.7109375" customWidth="1"/>
    <col min="886" max="886" width="1.42578125" customWidth="1"/>
    <col min="887" max="889" width="12.28515625" bestFit="1" customWidth="1"/>
    <col min="890" max="890" width="1.28515625" customWidth="1"/>
    <col min="891" max="893" width="12.28515625" bestFit="1" customWidth="1"/>
    <col min="894" max="894" width="1.42578125" customWidth="1"/>
    <col min="895" max="895" width="11.7109375" customWidth="1"/>
    <col min="896" max="896" width="12.28515625" bestFit="1" customWidth="1"/>
    <col min="897" max="897" width="11.7109375" customWidth="1"/>
    <col min="898" max="898" width="1.42578125" customWidth="1"/>
    <col min="1025" max="1025" width="18.42578125" customWidth="1"/>
    <col min="1026" max="1026" width="1.28515625" customWidth="1"/>
    <col min="1027" max="1027" width="13.7109375" customWidth="1"/>
    <col min="1028" max="1028" width="11.28515625" bestFit="1" customWidth="1"/>
    <col min="1029" max="1029" width="10.7109375" customWidth="1"/>
    <col min="1030" max="1037" width="0" hidden="1" customWidth="1"/>
    <col min="1038" max="1038" width="1.28515625" customWidth="1"/>
    <col min="1039" max="1042" width="0" hidden="1" customWidth="1"/>
    <col min="1043" max="1043" width="11" customWidth="1"/>
    <col min="1044" max="1044" width="10.42578125" customWidth="1"/>
    <col min="1045" max="1045" width="11.5703125" customWidth="1"/>
    <col min="1046" max="1069" width="0" hidden="1" customWidth="1"/>
    <col min="1070" max="1070" width="1.28515625" customWidth="1"/>
    <col min="1071" max="1071" width="11.7109375" customWidth="1"/>
    <col min="1072" max="1072" width="10.85546875" customWidth="1"/>
    <col min="1073" max="1073" width="11" customWidth="1"/>
    <col min="1074" max="1074" width="1.140625" customWidth="1"/>
    <col min="1075" max="1076" width="10.85546875" customWidth="1"/>
    <col min="1077" max="1077" width="11" customWidth="1"/>
    <col min="1078" max="1078" width="1.5703125" customWidth="1"/>
    <col min="1079" max="1079" width="10.7109375" customWidth="1"/>
    <col min="1080" max="1080" width="10.140625" customWidth="1"/>
    <col min="1081" max="1081" width="10.5703125" customWidth="1"/>
    <col min="1082" max="1082" width="2.140625" customWidth="1"/>
    <col min="1083" max="1083" width="10.85546875" customWidth="1"/>
    <col min="1084" max="1084" width="10.28515625" customWidth="1"/>
    <col min="1085" max="1085" width="10.42578125" customWidth="1"/>
    <col min="1086" max="1086" width="1.85546875" customWidth="1"/>
    <col min="1087" max="1098" width="0" hidden="1" customWidth="1"/>
    <col min="1099" max="1099" width="11.7109375" customWidth="1"/>
    <col min="1100" max="1100" width="10.140625" customWidth="1"/>
    <col min="1101" max="1101" width="11.7109375" customWidth="1"/>
    <col min="1102" max="1102" width="1.140625" customWidth="1"/>
    <col min="1103" max="1104" width="10.85546875" customWidth="1"/>
    <col min="1105" max="1105" width="10.7109375" customWidth="1"/>
    <col min="1106" max="1106" width="1.140625" customWidth="1"/>
    <col min="1107" max="1107" width="10" customWidth="1"/>
    <col min="1108" max="1108" width="9.85546875" customWidth="1"/>
    <col min="1109" max="1109" width="10.42578125" customWidth="1"/>
    <col min="1110" max="1110" width="1.140625" customWidth="1"/>
    <col min="1111" max="1111" width="10" customWidth="1"/>
    <col min="1112" max="1112" width="9.85546875" customWidth="1"/>
    <col min="1113" max="1113" width="10.85546875" bestFit="1" customWidth="1"/>
    <col min="1114" max="1114" width="1.42578125" customWidth="1"/>
    <col min="1115" max="1115" width="12.140625" customWidth="1"/>
    <col min="1116" max="1116" width="10.7109375" customWidth="1"/>
    <col min="1117" max="1117" width="14.42578125" customWidth="1"/>
    <col min="1118" max="1118" width="1.7109375" customWidth="1"/>
    <col min="1119" max="1119" width="11.28515625" customWidth="1"/>
    <col min="1120" max="1120" width="11.5703125" bestFit="1" customWidth="1"/>
    <col min="1121" max="1121" width="12.42578125" customWidth="1"/>
    <col min="1122" max="1122" width="1.7109375" customWidth="1"/>
    <col min="1123" max="1123" width="13.42578125" customWidth="1"/>
    <col min="1124" max="1124" width="11.140625" customWidth="1"/>
    <col min="1125" max="1125" width="11.28515625" customWidth="1"/>
    <col min="1126" max="1126" width="1.5703125" customWidth="1"/>
    <col min="1127" max="1127" width="14.42578125" customWidth="1"/>
    <col min="1128" max="1128" width="10.85546875" customWidth="1"/>
    <col min="1129" max="1129" width="13.5703125" customWidth="1"/>
    <col min="1130" max="1130" width="1.42578125" customWidth="1"/>
    <col min="1131" max="1131" width="15.28515625" customWidth="1"/>
    <col min="1132" max="1132" width="11.5703125" customWidth="1"/>
    <col min="1133" max="1133" width="14.28515625" customWidth="1"/>
    <col min="1134" max="1134" width="1.5703125" customWidth="1"/>
    <col min="1135" max="1135" width="16" customWidth="1"/>
    <col min="1136" max="1136" width="11.28515625" customWidth="1"/>
    <col min="1137" max="1137" width="13.5703125" customWidth="1"/>
    <col min="1138" max="1138" width="1.5703125" customWidth="1"/>
    <col min="1139" max="1139" width="15.140625" customWidth="1"/>
    <col min="1140" max="1140" width="11.7109375" customWidth="1"/>
    <col min="1141" max="1141" width="13.7109375" customWidth="1"/>
    <col min="1142" max="1142" width="1.42578125" customWidth="1"/>
    <col min="1143" max="1145" width="12.28515625" bestFit="1" customWidth="1"/>
    <col min="1146" max="1146" width="1.28515625" customWidth="1"/>
    <col min="1147" max="1149" width="12.28515625" bestFit="1" customWidth="1"/>
    <col min="1150" max="1150" width="1.42578125" customWidth="1"/>
    <col min="1151" max="1151" width="11.7109375" customWidth="1"/>
    <col min="1152" max="1152" width="12.28515625" bestFit="1" customWidth="1"/>
    <col min="1153" max="1153" width="11.7109375" customWidth="1"/>
    <col min="1154" max="1154" width="1.42578125" customWidth="1"/>
    <col min="1281" max="1281" width="18.42578125" customWidth="1"/>
    <col min="1282" max="1282" width="1.28515625" customWidth="1"/>
    <col min="1283" max="1283" width="13.7109375" customWidth="1"/>
    <col min="1284" max="1284" width="11.28515625" bestFit="1" customWidth="1"/>
    <col min="1285" max="1285" width="10.7109375" customWidth="1"/>
    <col min="1286" max="1293" width="0" hidden="1" customWidth="1"/>
    <col min="1294" max="1294" width="1.28515625" customWidth="1"/>
    <col min="1295" max="1298" width="0" hidden="1" customWidth="1"/>
    <col min="1299" max="1299" width="11" customWidth="1"/>
    <col min="1300" max="1300" width="10.42578125" customWidth="1"/>
    <col min="1301" max="1301" width="11.5703125" customWidth="1"/>
    <col min="1302" max="1325" width="0" hidden="1" customWidth="1"/>
    <col min="1326" max="1326" width="1.28515625" customWidth="1"/>
    <col min="1327" max="1327" width="11.7109375" customWidth="1"/>
    <col min="1328" max="1328" width="10.85546875" customWidth="1"/>
    <col min="1329" max="1329" width="11" customWidth="1"/>
    <col min="1330" max="1330" width="1.140625" customWidth="1"/>
    <col min="1331" max="1332" width="10.85546875" customWidth="1"/>
    <col min="1333" max="1333" width="11" customWidth="1"/>
    <col min="1334" max="1334" width="1.5703125" customWidth="1"/>
    <col min="1335" max="1335" width="10.7109375" customWidth="1"/>
    <col min="1336" max="1336" width="10.140625" customWidth="1"/>
    <col min="1337" max="1337" width="10.5703125" customWidth="1"/>
    <col min="1338" max="1338" width="2.140625" customWidth="1"/>
    <col min="1339" max="1339" width="10.85546875" customWidth="1"/>
    <col min="1340" max="1340" width="10.28515625" customWidth="1"/>
    <col min="1341" max="1341" width="10.42578125" customWidth="1"/>
    <col min="1342" max="1342" width="1.85546875" customWidth="1"/>
    <col min="1343" max="1354" width="0" hidden="1" customWidth="1"/>
    <col min="1355" max="1355" width="11.7109375" customWidth="1"/>
    <col min="1356" max="1356" width="10.140625" customWidth="1"/>
    <col min="1357" max="1357" width="11.7109375" customWidth="1"/>
    <col min="1358" max="1358" width="1.140625" customWidth="1"/>
    <col min="1359" max="1360" width="10.85546875" customWidth="1"/>
    <col min="1361" max="1361" width="10.7109375" customWidth="1"/>
    <col min="1362" max="1362" width="1.140625" customWidth="1"/>
    <col min="1363" max="1363" width="10" customWidth="1"/>
    <col min="1364" max="1364" width="9.85546875" customWidth="1"/>
    <col min="1365" max="1365" width="10.42578125" customWidth="1"/>
    <col min="1366" max="1366" width="1.140625" customWidth="1"/>
    <col min="1367" max="1367" width="10" customWidth="1"/>
    <col min="1368" max="1368" width="9.85546875" customWidth="1"/>
    <col min="1369" max="1369" width="10.85546875" bestFit="1" customWidth="1"/>
    <col min="1370" max="1370" width="1.42578125" customWidth="1"/>
    <col min="1371" max="1371" width="12.140625" customWidth="1"/>
    <col min="1372" max="1372" width="10.7109375" customWidth="1"/>
    <col min="1373" max="1373" width="14.42578125" customWidth="1"/>
    <col min="1374" max="1374" width="1.7109375" customWidth="1"/>
    <col min="1375" max="1375" width="11.28515625" customWidth="1"/>
    <col min="1376" max="1376" width="11.5703125" bestFit="1" customWidth="1"/>
    <col min="1377" max="1377" width="12.42578125" customWidth="1"/>
    <col min="1378" max="1378" width="1.7109375" customWidth="1"/>
    <col min="1379" max="1379" width="13.42578125" customWidth="1"/>
    <col min="1380" max="1380" width="11.140625" customWidth="1"/>
    <col min="1381" max="1381" width="11.28515625" customWidth="1"/>
    <col min="1382" max="1382" width="1.5703125" customWidth="1"/>
    <col min="1383" max="1383" width="14.42578125" customWidth="1"/>
    <col min="1384" max="1384" width="10.85546875" customWidth="1"/>
    <col min="1385" max="1385" width="13.5703125" customWidth="1"/>
    <col min="1386" max="1386" width="1.42578125" customWidth="1"/>
    <col min="1387" max="1387" width="15.28515625" customWidth="1"/>
    <col min="1388" max="1388" width="11.5703125" customWidth="1"/>
    <col min="1389" max="1389" width="14.28515625" customWidth="1"/>
    <col min="1390" max="1390" width="1.5703125" customWidth="1"/>
    <col min="1391" max="1391" width="16" customWidth="1"/>
    <col min="1392" max="1392" width="11.28515625" customWidth="1"/>
    <col min="1393" max="1393" width="13.5703125" customWidth="1"/>
    <col min="1394" max="1394" width="1.5703125" customWidth="1"/>
    <col min="1395" max="1395" width="15.140625" customWidth="1"/>
    <col min="1396" max="1396" width="11.7109375" customWidth="1"/>
    <col min="1397" max="1397" width="13.7109375" customWidth="1"/>
    <col min="1398" max="1398" width="1.42578125" customWidth="1"/>
    <col min="1399" max="1401" width="12.28515625" bestFit="1" customWidth="1"/>
    <col min="1402" max="1402" width="1.28515625" customWidth="1"/>
    <col min="1403" max="1405" width="12.28515625" bestFit="1" customWidth="1"/>
    <col min="1406" max="1406" width="1.42578125" customWidth="1"/>
    <col min="1407" max="1407" width="11.7109375" customWidth="1"/>
    <col min="1408" max="1408" width="12.28515625" bestFit="1" customWidth="1"/>
    <col min="1409" max="1409" width="11.7109375" customWidth="1"/>
    <col min="1410" max="1410" width="1.42578125" customWidth="1"/>
    <col min="1537" max="1537" width="18.42578125" customWidth="1"/>
    <col min="1538" max="1538" width="1.28515625" customWidth="1"/>
    <col min="1539" max="1539" width="13.7109375" customWidth="1"/>
    <col min="1540" max="1540" width="11.28515625" bestFit="1" customWidth="1"/>
    <col min="1541" max="1541" width="10.7109375" customWidth="1"/>
    <col min="1542" max="1549" width="0" hidden="1" customWidth="1"/>
    <col min="1550" max="1550" width="1.28515625" customWidth="1"/>
    <col min="1551" max="1554" width="0" hidden="1" customWidth="1"/>
    <col min="1555" max="1555" width="11" customWidth="1"/>
    <col min="1556" max="1556" width="10.42578125" customWidth="1"/>
    <col min="1557" max="1557" width="11.5703125" customWidth="1"/>
    <col min="1558" max="1581" width="0" hidden="1" customWidth="1"/>
    <col min="1582" max="1582" width="1.28515625" customWidth="1"/>
    <col min="1583" max="1583" width="11.7109375" customWidth="1"/>
    <col min="1584" max="1584" width="10.85546875" customWidth="1"/>
    <col min="1585" max="1585" width="11" customWidth="1"/>
    <col min="1586" max="1586" width="1.140625" customWidth="1"/>
    <col min="1587" max="1588" width="10.85546875" customWidth="1"/>
    <col min="1589" max="1589" width="11" customWidth="1"/>
    <col min="1590" max="1590" width="1.5703125" customWidth="1"/>
    <col min="1591" max="1591" width="10.7109375" customWidth="1"/>
    <col min="1592" max="1592" width="10.140625" customWidth="1"/>
    <col min="1593" max="1593" width="10.5703125" customWidth="1"/>
    <col min="1594" max="1594" width="2.140625" customWidth="1"/>
    <col min="1595" max="1595" width="10.85546875" customWidth="1"/>
    <col min="1596" max="1596" width="10.28515625" customWidth="1"/>
    <col min="1597" max="1597" width="10.42578125" customWidth="1"/>
    <col min="1598" max="1598" width="1.85546875" customWidth="1"/>
    <col min="1599" max="1610" width="0" hidden="1" customWidth="1"/>
    <col min="1611" max="1611" width="11.7109375" customWidth="1"/>
    <col min="1612" max="1612" width="10.140625" customWidth="1"/>
    <col min="1613" max="1613" width="11.7109375" customWidth="1"/>
    <col min="1614" max="1614" width="1.140625" customWidth="1"/>
    <col min="1615" max="1616" width="10.85546875" customWidth="1"/>
    <col min="1617" max="1617" width="10.7109375" customWidth="1"/>
    <col min="1618" max="1618" width="1.140625" customWidth="1"/>
    <col min="1619" max="1619" width="10" customWidth="1"/>
    <col min="1620" max="1620" width="9.85546875" customWidth="1"/>
    <col min="1621" max="1621" width="10.42578125" customWidth="1"/>
    <col min="1622" max="1622" width="1.140625" customWidth="1"/>
    <col min="1623" max="1623" width="10" customWidth="1"/>
    <col min="1624" max="1624" width="9.85546875" customWidth="1"/>
    <col min="1625" max="1625" width="10.85546875" bestFit="1" customWidth="1"/>
    <col min="1626" max="1626" width="1.42578125" customWidth="1"/>
    <col min="1627" max="1627" width="12.140625" customWidth="1"/>
    <col min="1628" max="1628" width="10.7109375" customWidth="1"/>
    <col min="1629" max="1629" width="14.42578125" customWidth="1"/>
    <col min="1630" max="1630" width="1.7109375" customWidth="1"/>
    <col min="1631" max="1631" width="11.28515625" customWidth="1"/>
    <col min="1632" max="1632" width="11.5703125" bestFit="1" customWidth="1"/>
    <col min="1633" max="1633" width="12.42578125" customWidth="1"/>
    <col min="1634" max="1634" width="1.7109375" customWidth="1"/>
    <col min="1635" max="1635" width="13.42578125" customWidth="1"/>
    <col min="1636" max="1636" width="11.140625" customWidth="1"/>
    <col min="1637" max="1637" width="11.28515625" customWidth="1"/>
    <col min="1638" max="1638" width="1.5703125" customWidth="1"/>
    <col min="1639" max="1639" width="14.42578125" customWidth="1"/>
    <col min="1640" max="1640" width="10.85546875" customWidth="1"/>
    <col min="1641" max="1641" width="13.5703125" customWidth="1"/>
    <col min="1642" max="1642" width="1.42578125" customWidth="1"/>
    <col min="1643" max="1643" width="15.28515625" customWidth="1"/>
    <col min="1644" max="1644" width="11.5703125" customWidth="1"/>
    <col min="1645" max="1645" width="14.28515625" customWidth="1"/>
    <col min="1646" max="1646" width="1.5703125" customWidth="1"/>
    <col min="1647" max="1647" width="16" customWidth="1"/>
    <col min="1648" max="1648" width="11.28515625" customWidth="1"/>
    <col min="1649" max="1649" width="13.5703125" customWidth="1"/>
    <col min="1650" max="1650" width="1.5703125" customWidth="1"/>
    <col min="1651" max="1651" width="15.140625" customWidth="1"/>
    <col min="1652" max="1652" width="11.7109375" customWidth="1"/>
    <col min="1653" max="1653" width="13.7109375" customWidth="1"/>
    <col min="1654" max="1654" width="1.42578125" customWidth="1"/>
    <col min="1655" max="1657" width="12.28515625" bestFit="1" customWidth="1"/>
    <col min="1658" max="1658" width="1.28515625" customWidth="1"/>
    <col min="1659" max="1661" width="12.28515625" bestFit="1" customWidth="1"/>
    <col min="1662" max="1662" width="1.42578125" customWidth="1"/>
    <col min="1663" max="1663" width="11.7109375" customWidth="1"/>
    <col min="1664" max="1664" width="12.28515625" bestFit="1" customWidth="1"/>
    <col min="1665" max="1665" width="11.7109375" customWidth="1"/>
    <col min="1666" max="1666" width="1.42578125" customWidth="1"/>
    <col min="1793" max="1793" width="18.42578125" customWidth="1"/>
    <col min="1794" max="1794" width="1.28515625" customWidth="1"/>
    <col min="1795" max="1795" width="13.7109375" customWidth="1"/>
    <col min="1796" max="1796" width="11.28515625" bestFit="1" customWidth="1"/>
    <col min="1797" max="1797" width="10.7109375" customWidth="1"/>
    <col min="1798" max="1805" width="0" hidden="1" customWidth="1"/>
    <col min="1806" max="1806" width="1.28515625" customWidth="1"/>
    <col min="1807" max="1810" width="0" hidden="1" customWidth="1"/>
    <col min="1811" max="1811" width="11" customWidth="1"/>
    <col min="1812" max="1812" width="10.42578125" customWidth="1"/>
    <col min="1813" max="1813" width="11.5703125" customWidth="1"/>
    <col min="1814" max="1837" width="0" hidden="1" customWidth="1"/>
    <col min="1838" max="1838" width="1.28515625" customWidth="1"/>
    <col min="1839" max="1839" width="11.7109375" customWidth="1"/>
    <col min="1840" max="1840" width="10.85546875" customWidth="1"/>
    <col min="1841" max="1841" width="11" customWidth="1"/>
    <col min="1842" max="1842" width="1.140625" customWidth="1"/>
    <col min="1843" max="1844" width="10.85546875" customWidth="1"/>
    <col min="1845" max="1845" width="11" customWidth="1"/>
    <col min="1846" max="1846" width="1.5703125" customWidth="1"/>
    <col min="1847" max="1847" width="10.7109375" customWidth="1"/>
    <col min="1848" max="1848" width="10.140625" customWidth="1"/>
    <col min="1849" max="1849" width="10.5703125" customWidth="1"/>
    <col min="1850" max="1850" width="2.140625" customWidth="1"/>
    <col min="1851" max="1851" width="10.85546875" customWidth="1"/>
    <col min="1852" max="1852" width="10.28515625" customWidth="1"/>
    <col min="1853" max="1853" width="10.42578125" customWidth="1"/>
    <col min="1854" max="1854" width="1.85546875" customWidth="1"/>
    <col min="1855" max="1866" width="0" hidden="1" customWidth="1"/>
    <col min="1867" max="1867" width="11.7109375" customWidth="1"/>
    <col min="1868" max="1868" width="10.140625" customWidth="1"/>
    <col min="1869" max="1869" width="11.7109375" customWidth="1"/>
    <col min="1870" max="1870" width="1.140625" customWidth="1"/>
    <col min="1871" max="1872" width="10.85546875" customWidth="1"/>
    <col min="1873" max="1873" width="10.7109375" customWidth="1"/>
    <col min="1874" max="1874" width="1.140625" customWidth="1"/>
    <col min="1875" max="1875" width="10" customWidth="1"/>
    <col min="1876" max="1876" width="9.85546875" customWidth="1"/>
    <col min="1877" max="1877" width="10.42578125" customWidth="1"/>
    <col min="1878" max="1878" width="1.140625" customWidth="1"/>
    <col min="1879" max="1879" width="10" customWidth="1"/>
    <col min="1880" max="1880" width="9.85546875" customWidth="1"/>
    <col min="1881" max="1881" width="10.85546875" bestFit="1" customWidth="1"/>
    <col min="1882" max="1882" width="1.42578125" customWidth="1"/>
    <col min="1883" max="1883" width="12.140625" customWidth="1"/>
    <col min="1884" max="1884" width="10.7109375" customWidth="1"/>
    <col min="1885" max="1885" width="14.42578125" customWidth="1"/>
    <col min="1886" max="1886" width="1.7109375" customWidth="1"/>
    <col min="1887" max="1887" width="11.28515625" customWidth="1"/>
    <col min="1888" max="1888" width="11.5703125" bestFit="1" customWidth="1"/>
    <col min="1889" max="1889" width="12.42578125" customWidth="1"/>
    <col min="1890" max="1890" width="1.7109375" customWidth="1"/>
    <col min="1891" max="1891" width="13.42578125" customWidth="1"/>
    <col min="1892" max="1892" width="11.140625" customWidth="1"/>
    <col min="1893" max="1893" width="11.28515625" customWidth="1"/>
    <col min="1894" max="1894" width="1.5703125" customWidth="1"/>
    <col min="1895" max="1895" width="14.42578125" customWidth="1"/>
    <col min="1896" max="1896" width="10.85546875" customWidth="1"/>
    <col min="1897" max="1897" width="13.5703125" customWidth="1"/>
    <col min="1898" max="1898" width="1.42578125" customWidth="1"/>
    <col min="1899" max="1899" width="15.28515625" customWidth="1"/>
    <col min="1900" max="1900" width="11.5703125" customWidth="1"/>
    <col min="1901" max="1901" width="14.28515625" customWidth="1"/>
    <col min="1902" max="1902" width="1.5703125" customWidth="1"/>
    <col min="1903" max="1903" width="16" customWidth="1"/>
    <col min="1904" max="1904" width="11.28515625" customWidth="1"/>
    <col min="1905" max="1905" width="13.5703125" customWidth="1"/>
    <col min="1906" max="1906" width="1.5703125" customWidth="1"/>
    <col min="1907" max="1907" width="15.140625" customWidth="1"/>
    <col min="1908" max="1908" width="11.7109375" customWidth="1"/>
    <col min="1909" max="1909" width="13.7109375" customWidth="1"/>
    <col min="1910" max="1910" width="1.42578125" customWidth="1"/>
    <col min="1911" max="1913" width="12.28515625" bestFit="1" customWidth="1"/>
    <col min="1914" max="1914" width="1.28515625" customWidth="1"/>
    <col min="1915" max="1917" width="12.28515625" bestFit="1" customWidth="1"/>
    <col min="1918" max="1918" width="1.42578125" customWidth="1"/>
    <col min="1919" max="1919" width="11.7109375" customWidth="1"/>
    <col min="1920" max="1920" width="12.28515625" bestFit="1" customWidth="1"/>
    <col min="1921" max="1921" width="11.7109375" customWidth="1"/>
    <col min="1922" max="1922" width="1.42578125" customWidth="1"/>
    <col min="2049" max="2049" width="18.42578125" customWidth="1"/>
    <col min="2050" max="2050" width="1.28515625" customWidth="1"/>
    <col min="2051" max="2051" width="13.7109375" customWidth="1"/>
    <col min="2052" max="2052" width="11.28515625" bestFit="1" customWidth="1"/>
    <col min="2053" max="2053" width="10.7109375" customWidth="1"/>
    <col min="2054" max="2061" width="0" hidden="1" customWidth="1"/>
    <col min="2062" max="2062" width="1.28515625" customWidth="1"/>
    <col min="2063" max="2066" width="0" hidden="1" customWidth="1"/>
    <col min="2067" max="2067" width="11" customWidth="1"/>
    <col min="2068" max="2068" width="10.42578125" customWidth="1"/>
    <col min="2069" max="2069" width="11.5703125" customWidth="1"/>
    <col min="2070" max="2093" width="0" hidden="1" customWidth="1"/>
    <col min="2094" max="2094" width="1.28515625" customWidth="1"/>
    <col min="2095" max="2095" width="11.7109375" customWidth="1"/>
    <col min="2096" max="2096" width="10.85546875" customWidth="1"/>
    <col min="2097" max="2097" width="11" customWidth="1"/>
    <col min="2098" max="2098" width="1.140625" customWidth="1"/>
    <col min="2099" max="2100" width="10.85546875" customWidth="1"/>
    <col min="2101" max="2101" width="11" customWidth="1"/>
    <col min="2102" max="2102" width="1.5703125" customWidth="1"/>
    <col min="2103" max="2103" width="10.7109375" customWidth="1"/>
    <col min="2104" max="2104" width="10.140625" customWidth="1"/>
    <col min="2105" max="2105" width="10.5703125" customWidth="1"/>
    <col min="2106" max="2106" width="2.140625" customWidth="1"/>
    <col min="2107" max="2107" width="10.85546875" customWidth="1"/>
    <col min="2108" max="2108" width="10.28515625" customWidth="1"/>
    <col min="2109" max="2109" width="10.42578125" customWidth="1"/>
    <col min="2110" max="2110" width="1.85546875" customWidth="1"/>
    <col min="2111" max="2122" width="0" hidden="1" customWidth="1"/>
    <col min="2123" max="2123" width="11.7109375" customWidth="1"/>
    <col min="2124" max="2124" width="10.140625" customWidth="1"/>
    <col min="2125" max="2125" width="11.7109375" customWidth="1"/>
    <col min="2126" max="2126" width="1.140625" customWidth="1"/>
    <col min="2127" max="2128" width="10.85546875" customWidth="1"/>
    <col min="2129" max="2129" width="10.7109375" customWidth="1"/>
    <col min="2130" max="2130" width="1.140625" customWidth="1"/>
    <col min="2131" max="2131" width="10" customWidth="1"/>
    <col min="2132" max="2132" width="9.85546875" customWidth="1"/>
    <col min="2133" max="2133" width="10.42578125" customWidth="1"/>
    <col min="2134" max="2134" width="1.140625" customWidth="1"/>
    <col min="2135" max="2135" width="10" customWidth="1"/>
    <col min="2136" max="2136" width="9.85546875" customWidth="1"/>
    <col min="2137" max="2137" width="10.85546875" bestFit="1" customWidth="1"/>
    <col min="2138" max="2138" width="1.42578125" customWidth="1"/>
    <col min="2139" max="2139" width="12.140625" customWidth="1"/>
    <col min="2140" max="2140" width="10.7109375" customWidth="1"/>
    <col min="2141" max="2141" width="14.42578125" customWidth="1"/>
    <col min="2142" max="2142" width="1.7109375" customWidth="1"/>
    <col min="2143" max="2143" width="11.28515625" customWidth="1"/>
    <col min="2144" max="2144" width="11.5703125" bestFit="1" customWidth="1"/>
    <col min="2145" max="2145" width="12.42578125" customWidth="1"/>
    <col min="2146" max="2146" width="1.7109375" customWidth="1"/>
    <col min="2147" max="2147" width="13.42578125" customWidth="1"/>
    <col min="2148" max="2148" width="11.140625" customWidth="1"/>
    <col min="2149" max="2149" width="11.28515625" customWidth="1"/>
    <col min="2150" max="2150" width="1.5703125" customWidth="1"/>
    <col min="2151" max="2151" width="14.42578125" customWidth="1"/>
    <col min="2152" max="2152" width="10.85546875" customWidth="1"/>
    <col min="2153" max="2153" width="13.5703125" customWidth="1"/>
    <col min="2154" max="2154" width="1.42578125" customWidth="1"/>
    <col min="2155" max="2155" width="15.28515625" customWidth="1"/>
    <col min="2156" max="2156" width="11.5703125" customWidth="1"/>
    <col min="2157" max="2157" width="14.28515625" customWidth="1"/>
    <col min="2158" max="2158" width="1.5703125" customWidth="1"/>
    <col min="2159" max="2159" width="16" customWidth="1"/>
    <col min="2160" max="2160" width="11.28515625" customWidth="1"/>
    <col min="2161" max="2161" width="13.5703125" customWidth="1"/>
    <col min="2162" max="2162" width="1.5703125" customWidth="1"/>
    <col min="2163" max="2163" width="15.140625" customWidth="1"/>
    <col min="2164" max="2164" width="11.7109375" customWidth="1"/>
    <col min="2165" max="2165" width="13.7109375" customWidth="1"/>
    <col min="2166" max="2166" width="1.42578125" customWidth="1"/>
    <col min="2167" max="2169" width="12.28515625" bestFit="1" customWidth="1"/>
    <col min="2170" max="2170" width="1.28515625" customWidth="1"/>
    <col min="2171" max="2173" width="12.28515625" bestFit="1" customWidth="1"/>
    <col min="2174" max="2174" width="1.42578125" customWidth="1"/>
    <col min="2175" max="2175" width="11.7109375" customWidth="1"/>
    <col min="2176" max="2176" width="12.28515625" bestFit="1" customWidth="1"/>
    <col min="2177" max="2177" width="11.7109375" customWidth="1"/>
    <col min="2178" max="2178" width="1.42578125" customWidth="1"/>
    <col min="2305" max="2305" width="18.42578125" customWidth="1"/>
    <col min="2306" max="2306" width="1.28515625" customWidth="1"/>
    <col min="2307" max="2307" width="13.7109375" customWidth="1"/>
    <col min="2308" max="2308" width="11.28515625" bestFit="1" customWidth="1"/>
    <col min="2309" max="2309" width="10.7109375" customWidth="1"/>
    <col min="2310" max="2317" width="0" hidden="1" customWidth="1"/>
    <col min="2318" max="2318" width="1.28515625" customWidth="1"/>
    <col min="2319" max="2322" width="0" hidden="1" customWidth="1"/>
    <col min="2323" max="2323" width="11" customWidth="1"/>
    <col min="2324" max="2324" width="10.42578125" customWidth="1"/>
    <col min="2325" max="2325" width="11.5703125" customWidth="1"/>
    <col min="2326" max="2349" width="0" hidden="1" customWidth="1"/>
    <col min="2350" max="2350" width="1.28515625" customWidth="1"/>
    <col min="2351" max="2351" width="11.7109375" customWidth="1"/>
    <col min="2352" max="2352" width="10.85546875" customWidth="1"/>
    <col min="2353" max="2353" width="11" customWidth="1"/>
    <col min="2354" max="2354" width="1.140625" customWidth="1"/>
    <col min="2355" max="2356" width="10.85546875" customWidth="1"/>
    <col min="2357" max="2357" width="11" customWidth="1"/>
    <col min="2358" max="2358" width="1.5703125" customWidth="1"/>
    <col min="2359" max="2359" width="10.7109375" customWidth="1"/>
    <col min="2360" max="2360" width="10.140625" customWidth="1"/>
    <col min="2361" max="2361" width="10.5703125" customWidth="1"/>
    <col min="2362" max="2362" width="2.140625" customWidth="1"/>
    <col min="2363" max="2363" width="10.85546875" customWidth="1"/>
    <col min="2364" max="2364" width="10.28515625" customWidth="1"/>
    <col min="2365" max="2365" width="10.42578125" customWidth="1"/>
    <col min="2366" max="2366" width="1.85546875" customWidth="1"/>
    <col min="2367" max="2378" width="0" hidden="1" customWidth="1"/>
    <col min="2379" max="2379" width="11.7109375" customWidth="1"/>
    <col min="2380" max="2380" width="10.140625" customWidth="1"/>
    <col min="2381" max="2381" width="11.7109375" customWidth="1"/>
    <col min="2382" max="2382" width="1.140625" customWidth="1"/>
    <col min="2383" max="2384" width="10.85546875" customWidth="1"/>
    <col min="2385" max="2385" width="10.7109375" customWidth="1"/>
    <col min="2386" max="2386" width="1.140625" customWidth="1"/>
    <col min="2387" max="2387" width="10" customWidth="1"/>
    <col min="2388" max="2388" width="9.85546875" customWidth="1"/>
    <col min="2389" max="2389" width="10.42578125" customWidth="1"/>
    <col min="2390" max="2390" width="1.140625" customWidth="1"/>
    <col min="2391" max="2391" width="10" customWidth="1"/>
    <col min="2392" max="2392" width="9.85546875" customWidth="1"/>
    <col min="2393" max="2393" width="10.85546875" bestFit="1" customWidth="1"/>
    <col min="2394" max="2394" width="1.42578125" customWidth="1"/>
    <col min="2395" max="2395" width="12.140625" customWidth="1"/>
    <col min="2396" max="2396" width="10.7109375" customWidth="1"/>
    <col min="2397" max="2397" width="14.42578125" customWidth="1"/>
    <col min="2398" max="2398" width="1.7109375" customWidth="1"/>
    <col min="2399" max="2399" width="11.28515625" customWidth="1"/>
    <col min="2400" max="2400" width="11.5703125" bestFit="1" customWidth="1"/>
    <col min="2401" max="2401" width="12.42578125" customWidth="1"/>
    <col min="2402" max="2402" width="1.7109375" customWidth="1"/>
    <col min="2403" max="2403" width="13.42578125" customWidth="1"/>
    <col min="2404" max="2404" width="11.140625" customWidth="1"/>
    <col min="2405" max="2405" width="11.28515625" customWidth="1"/>
    <col min="2406" max="2406" width="1.5703125" customWidth="1"/>
    <col min="2407" max="2407" width="14.42578125" customWidth="1"/>
    <col min="2408" max="2408" width="10.85546875" customWidth="1"/>
    <col min="2409" max="2409" width="13.5703125" customWidth="1"/>
    <col min="2410" max="2410" width="1.42578125" customWidth="1"/>
    <col min="2411" max="2411" width="15.28515625" customWidth="1"/>
    <col min="2412" max="2412" width="11.5703125" customWidth="1"/>
    <col min="2413" max="2413" width="14.28515625" customWidth="1"/>
    <col min="2414" max="2414" width="1.5703125" customWidth="1"/>
    <col min="2415" max="2415" width="16" customWidth="1"/>
    <col min="2416" max="2416" width="11.28515625" customWidth="1"/>
    <col min="2417" max="2417" width="13.5703125" customWidth="1"/>
    <col min="2418" max="2418" width="1.5703125" customWidth="1"/>
    <col min="2419" max="2419" width="15.140625" customWidth="1"/>
    <col min="2420" max="2420" width="11.7109375" customWidth="1"/>
    <col min="2421" max="2421" width="13.7109375" customWidth="1"/>
    <col min="2422" max="2422" width="1.42578125" customWidth="1"/>
    <col min="2423" max="2425" width="12.28515625" bestFit="1" customWidth="1"/>
    <col min="2426" max="2426" width="1.28515625" customWidth="1"/>
    <col min="2427" max="2429" width="12.28515625" bestFit="1" customWidth="1"/>
    <col min="2430" max="2430" width="1.42578125" customWidth="1"/>
    <col min="2431" max="2431" width="11.7109375" customWidth="1"/>
    <col min="2432" max="2432" width="12.28515625" bestFit="1" customWidth="1"/>
    <col min="2433" max="2433" width="11.7109375" customWidth="1"/>
    <col min="2434" max="2434" width="1.42578125" customWidth="1"/>
    <col min="2561" max="2561" width="18.42578125" customWidth="1"/>
    <col min="2562" max="2562" width="1.28515625" customWidth="1"/>
    <col min="2563" max="2563" width="13.7109375" customWidth="1"/>
    <col min="2564" max="2564" width="11.28515625" bestFit="1" customWidth="1"/>
    <col min="2565" max="2565" width="10.7109375" customWidth="1"/>
    <col min="2566" max="2573" width="0" hidden="1" customWidth="1"/>
    <col min="2574" max="2574" width="1.28515625" customWidth="1"/>
    <col min="2575" max="2578" width="0" hidden="1" customWidth="1"/>
    <col min="2579" max="2579" width="11" customWidth="1"/>
    <col min="2580" max="2580" width="10.42578125" customWidth="1"/>
    <col min="2581" max="2581" width="11.5703125" customWidth="1"/>
    <col min="2582" max="2605" width="0" hidden="1" customWidth="1"/>
    <col min="2606" max="2606" width="1.28515625" customWidth="1"/>
    <col min="2607" max="2607" width="11.7109375" customWidth="1"/>
    <col min="2608" max="2608" width="10.85546875" customWidth="1"/>
    <col min="2609" max="2609" width="11" customWidth="1"/>
    <col min="2610" max="2610" width="1.140625" customWidth="1"/>
    <col min="2611" max="2612" width="10.85546875" customWidth="1"/>
    <col min="2613" max="2613" width="11" customWidth="1"/>
    <col min="2614" max="2614" width="1.5703125" customWidth="1"/>
    <col min="2615" max="2615" width="10.7109375" customWidth="1"/>
    <col min="2616" max="2616" width="10.140625" customWidth="1"/>
    <col min="2617" max="2617" width="10.5703125" customWidth="1"/>
    <col min="2618" max="2618" width="2.140625" customWidth="1"/>
    <col min="2619" max="2619" width="10.85546875" customWidth="1"/>
    <col min="2620" max="2620" width="10.28515625" customWidth="1"/>
    <col min="2621" max="2621" width="10.42578125" customWidth="1"/>
    <col min="2622" max="2622" width="1.85546875" customWidth="1"/>
    <col min="2623" max="2634" width="0" hidden="1" customWidth="1"/>
    <col min="2635" max="2635" width="11.7109375" customWidth="1"/>
    <col min="2636" max="2636" width="10.140625" customWidth="1"/>
    <col min="2637" max="2637" width="11.7109375" customWidth="1"/>
    <col min="2638" max="2638" width="1.140625" customWidth="1"/>
    <col min="2639" max="2640" width="10.85546875" customWidth="1"/>
    <col min="2641" max="2641" width="10.7109375" customWidth="1"/>
    <col min="2642" max="2642" width="1.140625" customWidth="1"/>
    <col min="2643" max="2643" width="10" customWidth="1"/>
    <col min="2644" max="2644" width="9.85546875" customWidth="1"/>
    <col min="2645" max="2645" width="10.42578125" customWidth="1"/>
    <col min="2646" max="2646" width="1.140625" customWidth="1"/>
    <col min="2647" max="2647" width="10" customWidth="1"/>
    <col min="2648" max="2648" width="9.85546875" customWidth="1"/>
    <col min="2649" max="2649" width="10.85546875" bestFit="1" customWidth="1"/>
    <col min="2650" max="2650" width="1.42578125" customWidth="1"/>
    <col min="2651" max="2651" width="12.140625" customWidth="1"/>
    <col min="2652" max="2652" width="10.7109375" customWidth="1"/>
    <col min="2653" max="2653" width="14.42578125" customWidth="1"/>
    <col min="2654" max="2654" width="1.7109375" customWidth="1"/>
    <col min="2655" max="2655" width="11.28515625" customWidth="1"/>
    <col min="2656" max="2656" width="11.5703125" bestFit="1" customWidth="1"/>
    <col min="2657" max="2657" width="12.42578125" customWidth="1"/>
    <col min="2658" max="2658" width="1.7109375" customWidth="1"/>
    <col min="2659" max="2659" width="13.42578125" customWidth="1"/>
    <col min="2660" max="2660" width="11.140625" customWidth="1"/>
    <col min="2661" max="2661" width="11.28515625" customWidth="1"/>
    <col min="2662" max="2662" width="1.5703125" customWidth="1"/>
    <col min="2663" max="2663" width="14.42578125" customWidth="1"/>
    <col min="2664" max="2664" width="10.85546875" customWidth="1"/>
    <col min="2665" max="2665" width="13.5703125" customWidth="1"/>
    <col min="2666" max="2666" width="1.42578125" customWidth="1"/>
    <col min="2667" max="2667" width="15.28515625" customWidth="1"/>
    <col min="2668" max="2668" width="11.5703125" customWidth="1"/>
    <col min="2669" max="2669" width="14.28515625" customWidth="1"/>
    <col min="2670" max="2670" width="1.5703125" customWidth="1"/>
    <col min="2671" max="2671" width="16" customWidth="1"/>
    <col min="2672" max="2672" width="11.28515625" customWidth="1"/>
    <col min="2673" max="2673" width="13.5703125" customWidth="1"/>
    <col min="2674" max="2674" width="1.5703125" customWidth="1"/>
    <col min="2675" max="2675" width="15.140625" customWidth="1"/>
    <col min="2676" max="2676" width="11.7109375" customWidth="1"/>
    <col min="2677" max="2677" width="13.7109375" customWidth="1"/>
    <col min="2678" max="2678" width="1.42578125" customWidth="1"/>
    <col min="2679" max="2681" width="12.28515625" bestFit="1" customWidth="1"/>
    <col min="2682" max="2682" width="1.28515625" customWidth="1"/>
    <col min="2683" max="2685" width="12.28515625" bestFit="1" customWidth="1"/>
    <col min="2686" max="2686" width="1.42578125" customWidth="1"/>
    <col min="2687" max="2687" width="11.7109375" customWidth="1"/>
    <col min="2688" max="2688" width="12.28515625" bestFit="1" customWidth="1"/>
    <col min="2689" max="2689" width="11.7109375" customWidth="1"/>
    <col min="2690" max="2690" width="1.42578125" customWidth="1"/>
    <col min="2817" max="2817" width="18.42578125" customWidth="1"/>
    <col min="2818" max="2818" width="1.28515625" customWidth="1"/>
    <col min="2819" max="2819" width="13.7109375" customWidth="1"/>
    <col min="2820" max="2820" width="11.28515625" bestFit="1" customWidth="1"/>
    <col min="2821" max="2821" width="10.7109375" customWidth="1"/>
    <col min="2822" max="2829" width="0" hidden="1" customWidth="1"/>
    <col min="2830" max="2830" width="1.28515625" customWidth="1"/>
    <col min="2831" max="2834" width="0" hidden="1" customWidth="1"/>
    <col min="2835" max="2835" width="11" customWidth="1"/>
    <col min="2836" max="2836" width="10.42578125" customWidth="1"/>
    <col min="2837" max="2837" width="11.5703125" customWidth="1"/>
    <col min="2838" max="2861" width="0" hidden="1" customWidth="1"/>
    <col min="2862" max="2862" width="1.28515625" customWidth="1"/>
    <col min="2863" max="2863" width="11.7109375" customWidth="1"/>
    <col min="2864" max="2864" width="10.85546875" customWidth="1"/>
    <col min="2865" max="2865" width="11" customWidth="1"/>
    <col min="2866" max="2866" width="1.140625" customWidth="1"/>
    <col min="2867" max="2868" width="10.85546875" customWidth="1"/>
    <col min="2869" max="2869" width="11" customWidth="1"/>
    <col min="2870" max="2870" width="1.5703125" customWidth="1"/>
    <col min="2871" max="2871" width="10.7109375" customWidth="1"/>
    <col min="2872" max="2872" width="10.140625" customWidth="1"/>
    <col min="2873" max="2873" width="10.5703125" customWidth="1"/>
    <col min="2874" max="2874" width="2.140625" customWidth="1"/>
    <col min="2875" max="2875" width="10.85546875" customWidth="1"/>
    <col min="2876" max="2876" width="10.28515625" customWidth="1"/>
    <col min="2877" max="2877" width="10.42578125" customWidth="1"/>
    <col min="2878" max="2878" width="1.85546875" customWidth="1"/>
    <col min="2879" max="2890" width="0" hidden="1" customWidth="1"/>
    <col min="2891" max="2891" width="11.7109375" customWidth="1"/>
    <col min="2892" max="2892" width="10.140625" customWidth="1"/>
    <col min="2893" max="2893" width="11.7109375" customWidth="1"/>
    <col min="2894" max="2894" width="1.140625" customWidth="1"/>
    <col min="2895" max="2896" width="10.85546875" customWidth="1"/>
    <col min="2897" max="2897" width="10.7109375" customWidth="1"/>
    <col min="2898" max="2898" width="1.140625" customWidth="1"/>
    <col min="2899" max="2899" width="10" customWidth="1"/>
    <col min="2900" max="2900" width="9.85546875" customWidth="1"/>
    <col min="2901" max="2901" width="10.42578125" customWidth="1"/>
    <col min="2902" max="2902" width="1.140625" customWidth="1"/>
    <col min="2903" max="2903" width="10" customWidth="1"/>
    <col min="2904" max="2904" width="9.85546875" customWidth="1"/>
    <col min="2905" max="2905" width="10.85546875" bestFit="1" customWidth="1"/>
    <col min="2906" max="2906" width="1.42578125" customWidth="1"/>
    <col min="2907" max="2907" width="12.140625" customWidth="1"/>
    <col min="2908" max="2908" width="10.7109375" customWidth="1"/>
    <col min="2909" max="2909" width="14.42578125" customWidth="1"/>
    <col min="2910" max="2910" width="1.7109375" customWidth="1"/>
    <col min="2911" max="2911" width="11.28515625" customWidth="1"/>
    <col min="2912" max="2912" width="11.5703125" bestFit="1" customWidth="1"/>
    <col min="2913" max="2913" width="12.42578125" customWidth="1"/>
    <col min="2914" max="2914" width="1.7109375" customWidth="1"/>
    <col min="2915" max="2915" width="13.42578125" customWidth="1"/>
    <col min="2916" max="2916" width="11.140625" customWidth="1"/>
    <col min="2917" max="2917" width="11.28515625" customWidth="1"/>
    <col min="2918" max="2918" width="1.5703125" customWidth="1"/>
    <col min="2919" max="2919" width="14.42578125" customWidth="1"/>
    <col min="2920" max="2920" width="10.85546875" customWidth="1"/>
    <col min="2921" max="2921" width="13.5703125" customWidth="1"/>
    <col min="2922" max="2922" width="1.42578125" customWidth="1"/>
    <col min="2923" max="2923" width="15.28515625" customWidth="1"/>
    <col min="2924" max="2924" width="11.5703125" customWidth="1"/>
    <col min="2925" max="2925" width="14.28515625" customWidth="1"/>
    <col min="2926" max="2926" width="1.5703125" customWidth="1"/>
    <col min="2927" max="2927" width="16" customWidth="1"/>
    <col min="2928" max="2928" width="11.28515625" customWidth="1"/>
    <col min="2929" max="2929" width="13.5703125" customWidth="1"/>
    <col min="2930" max="2930" width="1.5703125" customWidth="1"/>
    <col min="2931" max="2931" width="15.140625" customWidth="1"/>
    <col min="2932" max="2932" width="11.7109375" customWidth="1"/>
    <col min="2933" max="2933" width="13.7109375" customWidth="1"/>
    <col min="2934" max="2934" width="1.42578125" customWidth="1"/>
    <col min="2935" max="2937" width="12.28515625" bestFit="1" customWidth="1"/>
    <col min="2938" max="2938" width="1.28515625" customWidth="1"/>
    <col min="2939" max="2941" width="12.28515625" bestFit="1" customWidth="1"/>
    <col min="2942" max="2942" width="1.42578125" customWidth="1"/>
    <col min="2943" max="2943" width="11.7109375" customWidth="1"/>
    <col min="2944" max="2944" width="12.28515625" bestFit="1" customWidth="1"/>
    <col min="2945" max="2945" width="11.7109375" customWidth="1"/>
    <col min="2946" max="2946" width="1.42578125" customWidth="1"/>
    <col min="3073" max="3073" width="18.42578125" customWidth="1"/>
    <col min="3074" max="3074" width="1.28515625" customWidth="1"/>
    <col min="3075" max="3075" width="13.7109375" customWidth="1"/>
    <col min="3076" max="3076" width="11.28515625" bestFit="1" customWidth="1"/>
    <col min="3077" max="3077" width="10.7109375" customWidth="1"/>
    <col min="3078" max="3085" width="0" hidden="1" customWidth="1"/>
    <col min="3086" max="3086" width="1.28515625" customWidth="1"/>
    <col min="3087" max="3090" width="0" hidden="1" customWidth="1"/>
    <col min="3091" max="3091" width="11" customWidth="1"/>
    <col min="3092" max="3092" width="10.42578125" customWidth="1"/>
    <col min="3093" max="3093" width="11.5703125" customWidth="1"/>
    <col min="3094" max="3117" width="0" hidden="1" customWidth="1"/>
    <col min="3118" max="3118" width="1.28515625" customWidth="1"/>
    <col min="3119" max="3119" width="11.7109375" customWidth="1"/>
    <col min="3120" max="3120" width="10.85546875" customWidth="1"/>
    <col min="3121" max="3121" width="11" customWidth="1"/>
    <col min="3122" max="3122" width="1.140625" customWidth="1"/>
    <col min="3123" max="3124" width="10.85546875" customWidth="1"/>
    <col min="3125" max="3125" width="11" customWidth="1"/>
    <col min="3126" max="3126" width="1.5703125" customWidth="1"/>
    <col min="3127" max="3127" width="10.7109375" customWidth="1"/>
    <col min="3128" max="3128" width="10.140625" customWidth="1"/>
    <col min="3129" max="3129" width="10.5703125" customWidth="1"/>
    <col min="3130" max="3130" width="2.140625" customWidth="1"/>
    <col min="3131" max="3131" width="10.85546875" customWidth="1"/>
    <col min="3132" max="3132" width="10.28515625" customWidth="1"/>
    <col min="3133" max="3133" width="10.42578125" customWidth="1"/>
    <col min="3134" max="3134" width="1.85546875" customWidth="1"/>
    <col min="3135" max="3146" width="0" hidden="1" customWidth="1"/>
    <col min="3147" max="3147" width="11.7109375" customWidth="1"/>
    <col min="3148" max="3148" width="10.140625" customWidth="1"/>
    <col min="3149" max="3149" width="11.7109375" customWidth="1"/>
    <col min="3150" max="3150" width="1.140625" customWidth="1"/>
    <col min="3151" max="3152" width="10.85546875" customWidth="1"/>
    <col min="3153" max="3153" width="10.7109375" customWidth="1"/>
    <col min="3154" max="3154" width="1.140625" customWidth="1"/>
    <col min="3155" max="3155" width="10" customWidth="1"/>
    <col min="3156" max="3156" width="9.85546875" customWidth="1"/>
    <col min="3157" max="3157" width="10.42578125" customWidth="1"/>
    <col min="3158" max="3158" width="1.140625" customWidth="1"/>
    <col min="3159" max="3159" width="10" customWidth="1"/>
    <col min="3160" max="3160" width="9.85546875" customWidth="1"/>
    <col min="3161" max="3161" width="10.85546875" bestFit="1" customWidth="1"/>
    <col min="3162" max="3162" width="1.42578125" customWidth="1"/>
    <col min="3163" max="3163" width="12.140625" customWidth="1"/>
    <col min="3164" max="3164" width="10.7109375" customWidth="1"/>
    <col min="3165" max="3165" width="14.42578125" customWidth="1"/>
    <col min="3166" max="3166" width="1.7109375" customWidth="1"/>
    <col min="3167" max="3167" width="11.28515625" customWidth="1"/>
    <col min="3168" max="3168" width="11.5703125" bestFit="1" customWidth="1"/>
    <col min="3169" max="3169" width="12.42578125" customWidth="1"/>
    <col min="3170" max="3170" width="1.7109375" customWidth="1"/>
    <col min="3171" max="3171" width="13.42578125" customWidth="1"/>
    <col min="3172" max="3172" width="11.140625" customWidth="1"/>
    <col min="3173" max="3173" width="11.28515625" customWidth="1"/>
    <col min="3174" max="3174" width="1.5703125" customWidth="1"/>
    <col min="3175" max="3175" width="14.42578125" customWidth="1"/>
    <col min="3176" max="3176" width="10.85546875" customWidth="1"/>
    <col min="3177" max="3177" width="13.5703125" customWidth="1"/>
    <col min="3178" max="3178" width="1.42578125" customWidth="1"/>
    <col min="3179" max="3179" width="15.28515625" customWidth="1"/>
    <col min="3180" max="3180" width="11.5703125" customWidth="1"/>
    <col min="3181" max="3181" width="14.28515625" customWidth="1"/>
    <col min="3182" max="3182" width="1.5703125" customWidth="1"/>
    <col min="3183" max="3183" width="16" customWidth="1"/>
    <col min="3184" max="3184" width="11.28515625" customWidth="1"/>
    <col min="3185" max="3185" width="13.5703125" customWidth="1"/>
    <col min="3186" max="3186" width="1.5703125" customWidth="1"/>
    <col min="3187" max="3187" width="15.140625" customWidth="1"/>
    <col min="3188" max="3188" width="11.7109375" customWidth="1"/>
    <col min="3189" max="3189" width="13.7109375" customWidth="1"/>
    <col min="3190" max="3190" width="1.42578125" customWidth="1"/>
    <col min="3191" max="3193" width="12.28515625" bestFit="1" customWidth="1"/>
    <col min="3194" max="3194" width="1.28515625" customWidth="1"/>
    <col min="3195" max="3197" width="12.28515625" bestFit="1" customWidth="1"/>
    <col min="3198" max="3198" width="1.42578125" customWidth="1"/>
    <col min="3199" max="3199" width="11.7109375" customWidth="1"/>
    <col min="3200" max="3200" width="12.28515625" bestFit="1" customWidth="1"/>
    <col min="3201" max="3201" width="11.7109375" customWidth="1"/>
    <col min="3202" max="3202" width="1.42578125" customWidth="1"/>
    <col min="3329" max="3329" width="18.42578125" customWidth="1"/>
    <col min="3330" max="3330" width="1.28515625" customWidth="1"/>
    <col min="3331" max="3331" width="13.7109375" customWidth="1"/>
    <col min="3332" max="3332" width="11.28515625" bestFit="1" customWidth="1"/>
    <col min="3333" max="3333" width="10.7109375" customWidth="1"/>
    <col min="3334" max="3341" width="0" hidden="1" customWidth="1"/>
    <col min="3342" max="3342" width="1.28515625" customWidth="1"/>
    <col min="3343" max="3346" width="0" hidden="1" customWidth="1"/>
    <col min="3347" max="3347" width="11" customWidth="1"/>
    <col min="3348" max="3348" width="10.42578125" customWidth="1"/>
    <col min="3349" max="3349" width="11.5703125" customWidth="1"/>
    <col min="3350" max="3373" width="0" hidden="1" customWidth="1"/>
    <col min="3374" max="3374" width="1.28515625" customWidth="1"/>
    <col min="3375" max="3375" width="11.7109375" customWidth="1"/>
    <col min="3376" max="3376" width="10.85546875" customWidth="1"/>
    <col min="3377" max="3377" width="11" customWidth="1"/>
    <col min="3378" max="3378" width="1.140625" customWidth="1"/>
    <col min="3379" max="3380" width="10.85546875" customWidth="1"/>
    <col min="3381" max="3381" width="11" customWidth="1"/>
    <col min="3382" max="3382" width="1.5703125" customWidth="1"/>
    <col min="3383" max="3383" width="10.7109375" customWidth="1"/>
    <col min="3384" max="3384" width="10.140625" customWidth="1"/>
    <col min="3385" max="3385" width="10.5703125" customWidth="1"/>
    <col min="3386" max="3386" width="2.140625" customWidth="1"/>
    <col min="3387" max="3387" width="10.85546875" customWidth="1"/>
    <col min="3388" max="3388" width="10.28515625" customWidth="1"/>
    <col min="3389" max="3389" width="10.42578125" customWidth="1"/>
    <col min="3390" max="3390" width="1.85546875" customWidth="1"/>
    <col min="3391" max="3402" width="0" hidden="1" customWidth="1"/>
    <col min="3403" max="3403" width="11.7109375" customWidth="1"/>
    <col min="3404" max="3404" width="10.140625" customWidth="1"/>
    <col min="3405" max="3405" width="11.7109375" customWidth="1"/>
    <col min="3406" max="3406" width="1.140625" customWidth="1"/>
    <col min="3407" max="3408" width="10.85546875" customWidth="1"/>
    <col min="3409" max="3409" width="10.7109375" customWidth="1"/>
    <col min="3410" max="3410" width="1.140625" customWidth="1"/>
    <col min="3411" max="3411" width="10" customWidth="1"/>
    <col min="3412" max="3412" width="9.85546875" customWidth="1"/>
    <col min="3413" max="3413" width="10.42578125" customWidth="1"/>
    <col min="3414" max="3414" width="1.140625" customWidth="1"/>
    <col min="3415" max="3415" width="10" customWidth="1"/>
    <col min="3416" max="3416" width="9.85546875" customWidth="1"/>
    <col min="3417" max="3417" width="10.85546875" bestFit="1" customWidth="1"/>
    <col min="3418" max="3418" width="1.42578125" customWidth="1"/>
    <col min="3419" max="3419" width="12.140625" customWidth="1"/>
    <col min="3420" max="3420" width="10.7109375" customWidth="1"/>
    <col min="3421" max="3421" width="14.42578125" customWidth="1"/>
    <col min="3422" max="3422" width="1.7109375" customWidth="1"/>
    <col min="3423" max="3423" width="11.28515625" customWidth="1"/>
    <col min="3424" max="3424" width="11.5703125" bestFit="1" customWidth="1"/>
    <col min="3425" max="3425" width="12.42578125" customWidth="1"/>
    <col min="3426" max="3426" width="1.7109375" customWidth="1"/>
    <col min="3427" max="3427" width="13.42578125" customWidth="1"/>
    <col min="3428" max="3428" width="11.140625" customWidth="1"/>
    <col min="3429" max="3429" width="11.28515625" customWidth="1"/>
    <col min="3430" max="3430" width="1.5703125" customWidth="1"/>
    <col min="3431" max="3431" width="14.42578125" customWidth="1"/>
    <col min="3432" max="3432" width="10.85546875" customWidth="1"/>
    <col min="3433" max="3433" width="13.5703125" customWidth="1"/>
    <col min="3434" max="3434" width="1.42578125" customWidth="1"/>
    <col min="3435" max="3435" width="15.28515625" customWidth="1"/>
    <col min="3436" max="3436" width="11.5703125" customWidth="1"/>
    <col min="3437" max="3437" width="14.28515625" customWidth="1"/>
    <col min="3438" max="3438" width="1.5703125" customWidth="1"/>
    <col min="3439" max="3439" width="16" customWidth="1"/>
    <col min="3440" max="3440" width="11.28515625" customWidth="1"/>
    <col min="3441" max="3441" width="13.5703125" customWidth="1"/>
    <col min="3442" max="3442" width="1.5703125" customWidth="1"/>
    <col min="3443" max="3443" width="15.140625" customWidth="1"/>
    <col min="3444" max="3444" width="11.7109375" customWidth="1"/>
    <col min="3445" max="3445" width="13.7109375" customWidth="1"/>
    <col min="3446" max="3446" width="1.42578125" customWidth="1"/>
    <col min="3447" max="3449" width="12.28515625" bestFit="1" customWidth="1"/>
    <col min="3450" max="3450" width="1.28515625" customWidth="1"/>
    <col min="3451" max="3453" width="12.28515625" bestFit="1" customWidth="1"/>
    <col min="3454" max="3454" width="1.42578125" customWidth="1"/>
    <col min="3455" max="3455" width="11.7109375" customWidth="1"/>
    <col min="3456" max="3456" width="12.28515625" bestFit="1" customWidth="1"/>
    <col min="3457" max="3457" width="11.7109375" customWidth="1"/>
    <col min="3458" max="3458" width="1.42578125" customWidth="1"/>
    <col min="3585" max="3585" width="18.42578125" customWidth="1"/>
    <col min="3586" max="3586" width="1.28515625" customWidth="1"/>
    <col min="3587" max="3587" width="13.7109375" customWidth="1"/>
    <col min="3588" max="3588" width="11.28515625" bestFit="1" customWidth="1"/>
    <col min="3589" max="3589" width="10.7109375" customWidth="1"/>
    <col min="3590" max="3597" width="0" hidden="1" customWidth="1"/>
    <col min="3598" max="3598" width="1.28515625" customWidth="1"/>
    <col min="3599" max="3602" width="0" hidden="1" customWidth="1"/>
    <col min="3603" max="3603" width="11" customWidth="1"/>
    <col min="3604" max="3604" width="10.42578125" customWidth="1"/>
    <col min="3605" max="3605" width="11.5703125" customWidth="1"/>
    <col min="3606" max="3629" width="0" hidden="1" customWidth="1"/>
    <col min="3630" max="3630" width="1.28515625" customWidth="1"/>
    <col min="3631" max="3631" width="11.7109375" customWidth="1"/>
    <col min="3632" max="3632" width="10.85546875" customWidth="1"/>
    <col min="3633" max="3633" width="11" customWidth="1"/>
    <col min="3634" max="3634" width="1.140625" customWidth="1"/>
    <col min="3635" max="3636" width="10.85546875" customWidth="1"/>
    <col min="3637" max="3637" width="11" customWidth="1"/>
    <col min="3638" max="3638" width="1.5703125" customWidth="1"/>
    <col min="3639" max="3639" width="10.7109375" customWidth="1"/>
    <col min="3640" max="3640" width="10.140625" customWidth="1"/>
    <col min="3641" max="3641" width="10.5703125" customWidth="1"/>
    <col min="3642" max="3642" width="2.140625" customWidth="1"/>
    <col min="3643" max="3643" width="10.85546875" customWidth="1"/>
    <col min="3644" max="3644" width="10.28515625" customWidth="1"/>
    <col min="3645" max="3645" width="10.42578125" customWidth="1"/>
    <col min="3646" max="3646" width="1.85546875" customWidth="1"/>
    <col min="3647" max="3658" width="0" hidden="1" customWidth="1"/>
    <col min="3659" max="3659" width="11.7109375" customWidth="1"/>
    <col min="3660" max="3660" width="10.140625" customWidth="1"/>
    <col min="3661" max="3661" width="11.7109375" customWidth="1"/>
    <col min="3662" max="3662" width="1.140625" customWidth="1"/>
    <col min="3663" max="3664" width="10.85546875" customWidth="1"/>
    <col min="3665" max="3665" width="10.7109375" customWidth="1"/>
    <col min="3666" max="3666" width="1.140625" customWidth="1"/>
    <col min="3667" max="3667" width="10" customWidth="1"/>
    <col min="3668" max="3668" width="9.85546875" customWidth="1"/>
    <col min="3669" max="3669" width="10.42578125" customWidth="1"/>
    <col min="3670" max="3670" width="1.140625" customWidth="1"/>
    <col min="3671" max="3671" width="10" customWidth="1"/>
    <col min="3672" max="3672" width="9.85546875" customWidth="1"/>
    <col min="3673" max="3673" width="10.85546875" bestFit="1" customWidth="1"/>
    <col min="3674" max="3674" width="1.42578125" customWidth="1"/>
    <col min="3675" max="3675" width="12.140625" customWidth="1"/>
    <col min="3676" max="3676" width="10.7109375" customWidth="1"/>
    <col min="3677" max="3677" width="14.42578125" customWidth="1"/>
    <col min="3678" max="3678" width="1.7109375" customWidth="1"/>
    <col min="3679" max="3679" width="11.28515625" customWidth="1"/>
    <col min="3680" max="3680" width="11.5703125" bestFit="1" customWidth="1"/>
    <col min="3681" max="3681" width="12.42578125" customWidth="1"/>
    <col min="3682" max="3682" width="1.7109375" customWidth="1"/>
    <col min="3683" max="3683" width="13.42578125" customWidth="1"/>
    <col min="3684" max="3684" width="11.140625" customWidth="1"/>
    <col min="3685" max="3685" width="11.28515625" customWidth="1"/>
    <col min="3686" max="3686" width="1.5703125" customWidth="1"/>
    <col min="3687" max="3687" width="14.42578125" customWidth="1"/>
    <col min="3688" max="3688" width="10.85546875" customWidth="1"/>
    <col min="3689" max="3689" width="13.5703125" customWidth="1"/>
    <col min="3690" max="3690" width="1.42578125" customWidth="1"/>
    <col min="3691" max="3691" width="15.28515625" customWidth="1"/>
    <col min="3692" max="3692" width="11.5703125" customWidth="1"/>
    <col min="3693" max="3693" width="14.28515625" customWidth="1"/>
    <col min="3694" max="3694" width="1.5703125" customWidth="1"/>
    <col min="3695" max="3695" width="16" customWidth="1"/>
    <col min="3696" max="3696" width="11.28515625" customWidth="1"/>
    <col min="3697" max="3697" width="13.5703125" customWidth="1"/>
    <col min="3698" max="3698" width="1.5703125" customWidth="1"/>
    <col min="3699" max="3699" width="15.140625" customWidth="1"/>
    <col min="3700" max="3700" width="11.7109375" customWidth="1"/>
    <col min="3701" max="3701" width="13.7109375" customWidth="1"/>
    <col min="3702" max="3702" width="1.42578125" customWidth="1"/>
    <col min="3703" max="3705" width="12.28515625" bestFit="1" customWidth="1"/>
    <col min="3706" max="3706" width="1.28515625" customWidth="1"/>
    <col min="3707" max="3709" width="12.28515625" bestFit="1" customWidth="1"/>
    <col min="3710" max="3710" width="1.42578125" customWidth="1"/>
    <col min="3711" max="3711" width="11.7109375" customWidth="1"/>
    <col min="3712" max="3712" width="12.28515625" bestFit="1" customWidth="1"/>
    <col min="3713" max="3713" width="11.7109375" customWidth="1"/>
    <col min="3714" max="3714" width="1.42578125" customWidth="1"/>
    <col min="3841" max="3841" width="18.42578125" customWidth="1"/>
    <col min="3842" max="3842" width="1.28515625" customWidth="1"/>
    <col min="3843" max="3843" width="13.7109375" customWidth="1"/>
    <col min="3844" max="3844" width="11.28515625" bestFit="1" customWidth="1"/>
    <col min="3845" max="3845" width="10.7109375" customWidth="1"/>
    <col min="3846" max="3853" width="0" hidden="1" customWidth="1"/>
    <col min="3854" max="3854" width="1.28515625" customWidth="1"/>
    <col min="3855" max="3858" width="0" hidden="1" customWidth="1"/>
    <col min="3859" max="3859" width="11" customWidth="1"/>
    <col min="3860" max="3860" width="10.42578125" customWidth="1"/>
    <col min="3861" max="3861" width="11.5703125" customWidth="1"/>
    <col min="3862" max="3885" width="0" hidden="1" customWidth="1"/>
    <col min="3886" max="3886" width="1.28515625" customWidth="1"/>
    <col min="3887" max="3887" width="11.7109375" customWidth="1"/>
    <col min="3888" max="3888" width="10.85546875" customWidth="1"/>
    <col min="3889" max="3889" width="11" customWidth="1"/>
    <col min="3890" max="3890" width="1.140625" customWidth="1"/>
    <col min="3891" max="3892" width="10.85546875" customWidth="1"/>
    <col min="3893" max="3893" width="11" customWidth="1"/>
    <col min="3894" max="3894" width="1.5703125" customWidth="1"/>
    <col min="3895" max="3895" width="10.7109375" customWidth="1"/>
    <col min="3896" max="3896" width="10.140625" customWidth="1"/>
    <col min="3897" max="3897" width="10.5703125" customWidth="1"/>
    <col min="3898" max="3898" width="2.140625" customWidth="1"/>
    <col min="3899" max="3899" width="10.85546875" customWidth="1"/>
    <col min="3900" max="3900" width="10.28515625" customWidth="1"/>
    <col min="3901" max="3901" width="10.42578125" customWidth="1"/>
    <col min="3902" max="3902" width="1.85546875" customWidth="1"/>
    <col min="3903" max="3914" width="0" hidden="1" customWidth="1"/>
    <col min="3915" max="3915" width="11.7109375" customWidth="1"/>
    <col min="3916" max="3916" width="10.140625" customWidth="1"/>
    <col min="3917" max="3917" width="11.7109375" customWidth="1"/>
    <col min="3918" max="3918" width="1.140625" customWidth="1"/>
    <col min="3919" max="3920" width="10.85546875" customWidth="1"/>
    <col min="3921" max="3921" width="10.7109375" customWidth="1"/>
    <col min="3922" max="3922" width="1.140625" customWidth="1"/>
    <col min="3923" max="3923" width="10" customWidth="1"/>
    <col min="3924" max="3924" width="9.85546875" customWidth="1"/>
    <col min="3925" max="3925" width="10.42578125" customWidth="1"/>
    <col min="3926" max="3926" width="1.140625" customWidth="1"/>
    <col min="3927" max="3927" width="10" customWidth="1"/>
    <col min="3928" max="3928" width="9.85546875" customWidth="1"/>
    <col min="3929" max="3929" width="10.85546875" bestFit="1" customWidth="1"/>
    <col min="3930" max="3930" width="1.42578125" customWidth="1"/>
    <col min="3931" max="3931" width="12.140625" customWidth="1"/>
    <col min="3932" max="3932" width="10.7109375" customWidth="1"/>
    <col min="3933" max="3933" width="14.42578125" customWidth="1"/>
    <col min="3934" max="3934" width="1.7109375" customWidth="1"/>
    <col min="3935" max="3935" width="11.28515625" customWidth="1"/>
    <col min="3936" max="3936" width="11.5703125" bestFit="1" customWidth="1"/>
    <col min="3937" max="3937" width="12.42578125" customWidth="1"/>
    <col min="3938" max="3938" width="1.7109375" customWidth="1"/>
    <col min="3939" max="3939" width="13.42578125" customWidth="1"/>
    <col min="3940" max="3940" width="11.140625" customWidth="1"/>
    <col min="3941" max="3941" width="11.28515625" customWidth="1"/>
    <col min="3942" max="3942" width="1.5703125" customWidth="1"/>
    <col min="3943" max="3943" width="14.42578125" customWidth="1"/>
    <col min="3944" max="3944" width="10.85546875" customWidth="1"/>
    <col min="3945" max="3945" width="13.5703125" customWidth="1"/>
    <col min="3946" max="3946" width="1.42578125" customWidth="1"/>
    <col min="3947" max="3947" width="15.28515625" customWidth="1"/>
    <col min="3948" max="3948" width="11.5703125" customWidth="1"/>
    <col min="3949" max="3949" width="14.28515625" customWidth="1"/>
    <col min="3950" max="3950" width="1.5703125" customWidth="1"/>
    <col min="3951" max="3951" width="16" customWidth="1"/>
    <col min="3952" max="3952" width="11.28515625" customWidth="1"/>
    <col min="3953" max="3953" width="13.5703125" customWidth="1"/>
    <col min="3954" max="3954" width="1.5703125" customWidth="1"/>
    <col min="3955" max="3955" width="15.140625" customWidth="1"/>
    <col min="3956" max="3956" width="11.7109375" customWidth="1"/>
    <col min="3957" max="3957" width="13.7109375" customWidth="1"/>
    <col min="3958" max="3958" width="1.42578125" customWidth="1"/>
    <col min="3959" max="3961" width="12.28515625" bestFit="1" customWidth="1"/>
    <col min="3962" max="3962" width="1.28515625" customWidth="1"/>
    <col min="3963" max="3965" width="12.28515625" bestFit="1" customWidth="1"/>
    <col min="3966" max="3966" width="1.42578125" customWidth="1"/>
    <col min="3967" max="3967" width="11.7109375" customWidth="1"/>
    <col min="3968" max="3968" width="12.28515625" bestFit="1" customWidth="1"/>
    <col min="3969" max="3969" width="11.7109375" customWidth="1"/>
    <col min="3970" max="3970" width="1.42578125" customWidth="1"/>
    <col min="4097" max="4097" width="18.42578125" customWidth="1"/>
    <col min="4098" max="4098" width="1.28515625" customWidth="1"/>
    <col min="4099" max="4099" width="13.7109375" customWidth="1"/>
    <col min="4100" max="4100" width="11.28515625" bestFit="1" customWidth="1"/>
    <col min="4101" max="4101" width="10.7109375" customWidth="1"/>
    <col min="4102" max="4109" width="0" hidden="1" customWidth="1"/>
    <col min="4110" max="4110" width="1.28515625" customWidth="1"/>
    <col min="4111" max="4114" width="0" hidden="1" customWidth="1"/>
    <col min="4115" max="4115" width="11" customWidth="1"/>
    <col min="4116" max="4116" width="10.42578125" customWidth="1"/>
    <col min="4117" max="4117" width="11.5703125" customWidth="1"/>
    <col min="4118" max="4141" width="0" hidden="1" customWidth="1"/>
    <col min="4142" max="4142" width="1.28515625" customWidth="1"/>
    <col min="4143" max="4143" width="11.7109375" customWidth="1"/>
    <col min="4144" max="4144" width="10.85546875" customWidth="1"/>
    <col min="4145" max="4145" width="11" customWidth="1"/>
    <col min="4146" max="4146" width="1.140625" customWidth="1"/>
    <col min="4147" max="4148" width="10.85546875" customWidth="1"/>
    <col min="4149" max="4149" width="11" customWidth="1"/>
    <col min="4150" max="4150" width="1.5703125" customWidth="1"/>
    <col min="4151" max="4151" width="10.7109375" customWidth="1"/>
    <col min="4152" max="4152" width="10.140625" customWidth="1"/>
    <col min="4153" max="4153" width="10.5703125" customWidth="1"/>
    <col min="4154" max="4154" width="2.140625" customWidth="1"/>
    <col min="4155" max="4155" width="10.85546875" customWidth="1"/>
    <col min="4156" max="4156" width="10.28515625" customWidth="1"/>
    <col min="4157" max="4157" width="10.42578125" customWidth="1"/>
    <col min="4158" max="4158" width="1.85546875" customWidth="1"/>
    <col min="4159" max="4170" width="0" hidden="1" customWidth="1"/>
    <col min="4171" max="4171" width="11.7109375" customWidth="1"/>
    <col min="4172" max="4172" width="10.140625" customWidth="1"/>
    <col min="4173" max="4173" width="11.7109375" customWidth="1"/>
    <col min="4174" max="4174" width="1.140625" customWidth="1"/>
    <col min="4175" max="4176" width="10.85546875" customWidth="1"/>
    <col min="4177" max="4177" width="10.7109375" customWidth="1"/>
    <col min="4178" max="4178" width="1.140625" customWidth="1"/>
    <col min="4179" max="4179" width="10" customWidth="1"/>
    <col min="4180" max="4180" width="9.85546875" customWidth="1"/>
    <col min="4181" max="4181" width="10.42578125" customWidth="1"/>
    <col min="4182" max="4182" width="1.140625" customWidth="1"/>
    <col min="4183" max="4183" width="10" customWidth="1"/>
    <col min="4184" max="4184" width="9.85546875" customWidth="1"/>
    <col min="4185" max="4185" width="10.85546875" bestFit="1" customWidth="1"/>
    <col min="4186" max="4186" width="1.42578125" customWidth="1"/>
    <col min="4187" max="4187" width="12.140625" customWidth="1"/>
    <col min="4188" max="4188" width="10.7109375" customWidth="1"/>
    <col min="4189" max="4189" width="14.42578125" customWidth="1"/>
    <col min="4190" max="4190" width="1.7109375" customWidth="1"/>
    <col min="4191" max="4191" width="11.28515625" customWidth="1"/>
    <col min="4192" max="4192" width="11.5703125" bestFit="1" customWidth="1"/>
    <col min="4193" max="4193" width="12.42578125" customWidth="1"/>
    <col min="4194" max="4194" width="1.7109375" customWidth="1"/>
    <col min="4195" max="4195" width="13.42578125" customWidth="1"/>
    <col min="4196" max="4196" width="11.140625" customWidth="1"/>
    <col min="4197" max="4197" width="11.28515625" customWidth="1"/>
    <col min="4198" max="4198" width="1.5703125" customWidth="1"/>
    <col min="4199" max="4199" width="14.42578125" customWidth="1"/>
    <col min="4200" max="4200" width="10.85546875" customWidth="1"/>
    <col min="4201" max="4201" width="13.5703125" customWidth="1"/>
    <col min="4202" max="4202" width="1.42578125" customWidth="1"/>
    <col min="4203" max="4203" width="15.28515625" customWidth="1"/>
    <col min="4204" max="4204" width="11.5703125" customWidth="1"/>
    <col min="4205" max="4205" width="14.28515625" customWidth="1"/>
    <col min="4206" max="4206" width="1.5703125" customWidth="1"/>
    <col min="4207" max="4207" width="16" customWidth="1"/>
    <col min="4208" max="4208" width="11.28515625" customWidth="1"/>
    <col min="4209" max="4209" width="13.5703125" customWidth="1"/>
    <col min="4210" max="4210" width="1.5703125" customWidth="1"/>
    <col min="4211" max="4211" width="15.140625" customWidth="1"/>
    <col min="4212" max="4212" width="11.7109375" customWidth="1"/>
    <col min="4213" max="4213" width="13.7109375" customWidth="1"/>
    <col min="4214" max="4214" width="1.42578125" customWidth="1"/>
    <col min="4215" max="4217" width="12.28515625" bestFit="1" customWidth="1"/>
    <col min="4218" max="4218" width="1.28515625" customWidth="1"/>
    <col min="4219" max="4221" width="12.28515625" bestFit="1" customWidth="1"/>
    <col min="4222" max="4222" width="1.42578125" customWidth="1"/>
    <col min="4223" max="4223" width="11.7109375" customWidth="1"/>
    <col min="4224" max="4224" width="12.28515625" bestFit="1" customWidth="1"/>
    <col min="4225" max="4225" width="11.7109375" customWidth="1"/>
    <col min="4226" max="4226" width="1.42578125" customWidth="1"/>
    <col min="4353" max="4353" width="18.42578125" customWidth="1"/>
    <col min="4354" max="4354" width="1.28515625" customWidth="1"/>
    <col min="4355" max="4355" width="13.7109375" customWidth="1"/>
    <col min="4356" max="4356" width="11.28515625" bestFit="1" customWidth="1"/>
    <col min="4357" max="4357" width="10.7109375" customWidth="1"/>
    <col min="4358" max="4365" width="0" hidden="1" customWidth="1"/>
    <col min="4366" max="4366" width="1.28515625" customWidth="1"/>
    <col min="4367" max="4370" width="0" hidden="1" customWidth="1"/>
    <col min="4371" max="4371" width="11" customWidth="1"/>
    <col min="4372" max="4372" width="10.42578125" customWidth="1"/>
    <col min="4373" max="4373" width="11.5703125" customWidth="1"/>
    <col min="4374" max="4397" width="0" hidden="1" customWidth="1"/>
    <col min="4398" max="4398" width="1.28515625" customWidth="1"/>
    <col min="4399" max="4399" width="11.7109375" customWidth="1"/>
    <col min="4400" max="4400" width="10.85546875" customWidth="1"/>
    <col min="4401" max="4401" width="11" customWidth="1"/>
    <col min="4402" max="4402" width="1.140625" customWidth="1"/>
    <col min="4403" max="4404" width="10.85546875" customWidth="1"/>
    <col min="4405" max="4405" width="11" customWidth="1"/>
    <col min="4406" max="4406" width="1.5703125" customWidth="1"/>
    <col min="4407" max="4407" width="10.7109375" customWidth="1"/>
    <col min="4408" max="4408" width="10.140625" customWidth="1"/>
    <col min="4409" max="4409" width="10.5703125" customWidth="1"/>
    <col min="4410" max="4410" width="2.140625" customWidth="1"/>
    <col min="4411" max="4411" width="10.85546875" customWidth="1"/>
    <col min="4412" max="4412" width="10.28515625" customWidth="1"/>
    <col min="4413" max="4413" width="10.42578125" customWidth="1"/>
    <col min="4414" max="4414" width="1.85546875" customWidth="1"/>
    <col min="4415" max="4426" width="0" hidden="1" customWidth="1"/>
    <col min="4427" max="4427" width="11.7109375" customWidth="1"/>
    <col min="4428" max="4428" width="10.140625" customWidth="1"/>
    <col min="4429" max="4429" width="11.7109375" customWidth="1"/>
    <col min="4430" max="4430" width="1.140625" customWidth="1"/>
    <col min="4431" max="4432" width="10.85546875" customWidth="1"/>
    <col min="4433" max="4433" width="10.7109375" customWidth="1"/>
    <col min="4434" max="4434" width="1.140625" customWidth="1"/>
    <col min="4435" max="4435" width="10" customWidth="1"/>
    <col min="4436" max="4436" width="9.85546875" customWidth="1"/>
    <col min="4437" max="4437" width="10.42578125" customWidth="1"/>
    <col min="4438" max="4438" width="1.140625" customWidth="1"/>
    <col min="4439" max="4439" width="10" customWidth="1"/>
    <col min="4440" max="4440" width="9.85546875" customWidth="1"/>
    <col min="4441" max="4441" width="10.85546875" bestFit="1" customWidth="1"/>
    <col min="4442" max="4442" width="1.42578125" customWidth="1"/>
    <col min="4443" max="4443" width="12.140625" customWidth="1"/>
    <col min="4444" max="4444" width="10.7109375" customWidth="1"/>
    <col min="4445" max="4445" width="14.42578125" customWidth="1"/>
    <col min="4446" max="4446" width="1.7109375" customWidth="1"/>
    <col min="4447" max="4447" width="11.28515625" customWidth="1"/>
    <col min="4448" max="4448" width="11.5703125" bestFit="1" customWidth="1"/>
    <col min="4449" max="4449" width="12.42578125" customWidth="1"/>
    <col min="4450" max="4450" width="1.7109375" customWidth="1"/>
    <col min="4451" max="4451" width="13.42578125" customWidth="1"/>
    <col min="4452" max="4452" width="11.140625" customWidth="1"/>
    <col min="4453" max="4453" width="11.28515625" customWidth="1"/>
    <col min="4454" max="4454" width="1.5703125" customWidth="1"/>
    <col min="4455" max="4455" width="14.42578125" customWidth="1"/>
    <col min="4456" max="4456" width="10.85546875" customWidth="1"/>
    <col min="4457" max="4457" width="13.5703125" customWidth="1"/>
    <col min="4458" max="4458" width="1.42578125" customWidth="1"/>
    <col min="4459" max="4459" width="15.28515625" customWidth="1"/>
    <col min="4460" max="4460" width="11.5703125" customWidth="1"/>
    <col min="4461" max="4461" width="14.28515625" customWidth="1"/>
    <col min="4462" max="4462" width="1.5703125" customWidth="1"/>
    <col min="4463" max="4463" width="16" customWidth="1"/>
    <col min="4464" max="4464" width="11.28515625" customWidth="1"/>
    <col min="4465" max="4465" width="13.5703125" customWidth="1"/>
    <col min="4466" max="4466" width="1.5703125" customWidth="1"/>
    <col min="4467" max="4467" width="15.140625" customWidth="1"/>
    <col min="4468" max="4468" width="11.7109375" customWidth="1"/>
    <col min="4469" max="4469" width="13.7109375" customWidth="1"/>
    <col min="4470" max="4470" width="1.42578125" customWidth="1"/>
    <col min="4471" max="4473" width="12.28515625" bestFit="1" customWidth="1"/>
    <col min="4474" max="4474" width="1.28515625" customWidth="1"/>
    <col min="4475" max="4477" width="12.28515625" bestFit="1" customWidth="1"/>
    <col min="4478" max="4478" width="1.42578125" customWidth="1"/>
    <col min="4479" max="4479" width="11.7109375" customWidth="1"/>
    <col min="4480" max="4480" width="12.28515625" bestFit="1" customWidth="1"/>
    <col min="4481" max="4481" width="11.7109375" customWidth="1"/>
    <col min="4482" max="4482" width="1.42578125" customWidth="1"/>
    <col min="4609" max="4609" width="18.42578125" customWidth="1"/>
    <col min="4610" max="4610" width="1.28515625" customWidth="1"/>
    <col min="4611" max="4611" width="13.7109375" customWidth="1"/>
    <col min="4612" max="4612" width="11.28515625" bestFit="1" customWidth="1"/>
    <col min="4613" max="4613" width="10.7109375" customWidth="1"/>
    <col min="4614" max="4621" width="0" hidden="1" customWidth="1"/>
    <col min="4622" max="4622" width="1.28515625" customWidth="1"/>
    <col min="4623" max="4626" width="0" hidden="1" customWidth="1"/>
    <col min="4627" max="4627" width="11" customWidth="1"/>
    <col min="4628" max="4628" width="10.42578125" customWidth="1"/>
    <col min="4629" max="4629" width="11.5703125" customWidth="1"/>
    <col min="4630" max="4653" width="0" hidden="1" customWidth="1"/>
    <col min="4654" max="4654" width="1.28515625" customWidth="1"/>
    <col min="4655" max="4655" width="11.7109375" customWidth="1"/>
    <col min="4656" max="4656" width="10.85546875" customWidth="1"/>
    <col min="4657" max="4657" width="11" customWidth="1"/>
    <col min="4658" max="4658" width="1.140625" customWidth="1"/>
    <col min="4659" max="4660" width="10.85546875" customWidth="1"/>
    <col min="4661" max="4661" width="11" customWidth="1"/>
    <col min="4662" max="4662" width="1.5703125" customWidth="1"/>
    <col min="4663" max="4663" width="10.7109375" customWidth="1"/>
    <col min="4664" max="4664" width="10.140625" customWidth="1"/>
    <col min="4665" max="4665" width="10.5703125" customWidth="1"/>
    <col min="4666" max="4666" width="2.140625" customWidth="1"/>
    <col min="4667" max="4667" width="10.85546875" customWidth="1"/>
    <col min="4668" max="4668" width="10.28515625" customWidth="1"/>
    <col min="4669" max="4669" width="10.42578125" customWidth="1"/>
    <col min="4670" max="4670" width="1.85546875" customWidth="1"/>
    <col min="4671" max="4682" width="0" hidden="1" customWidth="1"/>
    <col min="4683" max="4683" width="11.7109375" customWidth="1"/>
    <col min="4684" max="4684" width="10.140625" customWidth="1"/>
    <col min="4685" max="4685" width="11.7109375" customWidth="1"/>
    <col min="4686" max="4686" width="1.140625" customWidth="1"/>
    <col min="4687" max="4688" width="10.85546875" customWidth="1"/>
    <col min="4689" max="4689" width="10.7109375" customWidth="1"/>
    <col min="4690" max="4690" width="1.140625" customWidth="1"/>
    <col min="4691" max="4691" width="10" customWidth="1"/>
    <col min="4692" max="4692" width="9.85546875" customWidth="1"/>
    <col min="4693" max="4693" width="10.42578125" customWidth="1"/>
    <col min="4694" max="4694" width="1.140625" customWidth="1"/>
    <col min="4695" max="4695" width="10" customWidth="1"/>
    <col min="4696" max="4696" width="9.85546875" customWidth="1"/>
    <col min="4697" max="4697" width="10.85546875" bestFit="1" customWidth="1"/>
    <col min="4698" max="4698" width="1.42578125" customWidth="1"/>
    <col min="4699" max="4699" width="12.140625" customWidth="1"/>
    <col min="4700" max="4700" width="10.7109375" customWidth="1"/>
    <col min="4701" max="4701" width="14.42578125" customWidth="1"/>
    <col min="4702" max="4702" width="1.7109375" customWidth="1"/>
    <col min="4703" max="4703" width="11.28515625" customWidth="1"/>
    <col min="4704" max="4704" width="11.5703125" bestFit="1" customWidth="1"/>
    <col min="4705" max="4705" width="12.42578125" customWidth="1"/>
    <col min="4706" max="4706" width="1.7109375" customWidth="1"/>
    <col min="4707" max="4707" width="13.42578125" customWidth="1"/>
    <col min="4708" max="4708" width="11.140625" customWidth="1"/>
    <col min="4709" max="4709" width="11.28515625" customWidth="1"/>
    <col min="4710" max="4710" width="1.5703125" customWidth="1"/>
    <col min="4711" max="4711" width="14.42578125" customWidth="1"/>
    <col min="4712" max="4712" width="10.85546875" customWidth="1"/>
    <col min="4713" max="4713" width="13.5703125" customWidth="1"/>
    <col min="4714" max="4714" width="1.42578125" customWidth="1"/>
    <col min="4715" max="4715" width="15.28515625" customWidth="1"/>
    <col min="4716" max="4716" width="11.5703125" customWidth="1"/>
    <col min="4717" max="4717" width="14.28515625" customWidth="1"/>
    <col min="4718" max="4718" width="1.5703125" customWidth="1"/>
    <col min="4719" max="4719" width="16" customWidth="1"/>
    <col min="4720" max="4720" width="11.28515625" customWidth="1"/>
    <col min="4721" max="4721" width="13.5703125" customWidth="1"/>
    <col min="4722" max="4722" width="1.5703125" customWidth="1"/>
    <col min="4723" max="4723" width="15.140625" customWidth="1"/>
    <col min="4724" max="4724" width="11.7109375" customWidth="1"/>
    <col min="4725" max="4725" width="13.7109375" customWidth="1"/>
    <col min="4726" max="4726" width="1.42578125" customWidth="1"/>
    <col min="4727" max="4729" width="12.28515625" bestFit="1" customWidth="1"/>
    <col min="4730" max="4730" width="1.28515625" customWidth="1"/>
    <col min="4731" max="4733" width="12.28515625" bestFit="1" customWidth="1"/>
    <col min="4734" max="4734" width="1.42578125" customWidth="1"/>
    <col min="4735" max="4735" width="11.7109375" customWidth="1"/>
    <col min="4736" max="4736" width="12.28515625" bestFit="1" customWidth="1"/>
    <col min="4737" max="4737" width="11.7109375" customWidth="1"/>
    <col min="4738" max="4738" width="1.42578125" customWidth="1"/>
    <col min="4865" max="4865" width="18.42578125" customWidth="1"/>
    <col min="4866" max="4866" width="1.28515625" customWidth="1"/>
    <col min="4867" max="4867" width="13.7109375" customWidth="1"/>
    <col min="4868" max="4868" width="11.28515625" bestFit="1" customWidth="1"/>
    <col min="4869" max="4869" width="10.7109375" customWidth="1"/>
    <col min="4870" max="4877" width="0" hidden="1" customWidth="1"/>
    <col min="4878" max="4878" width="1.28515625" customWidth="1"/>
    <col min="4879" max="4882" width="0" hidden="1" customWidth="1"/>
    <col min="4883" max="4883" width="11" customWidth="1"/>
    <col min="4884" max="4884" width="10.42578125" customWidth="1"/>
    <col min="4885" max="4885" width="11.5703125" customWidth="1"/>
    <col min="4886" max="4909" width="0" hidden="1" customWidth="1"/>
    <col min="4910" max="4910" width="1.28515625" customWidth="1"/>
    <col min="4911" max="4911" width="11.7109375" customWidth="1"/>
    <col min="4912" max="4912" width="10.85546875" customWidth="1"/>
    <col min="4913" max="4913" width="11" customWidth="1"/>
    <col min="4914" max="4914" width="1.140625" customWidth="1"/>
    <col min="4915" max="4916" width="10.85546875" customWidth="1"/>
    <col min="4917" max="4917" width="11" customWidth="1"/>
    <col min="4918" max="4918" width="1.5703125" customWidth="1"/>
    <col min="4919" max="4919" width="10.7109375" customWidth="1"/>
    <col min="4920" max="4920" width="10.140625" customWidth="1"/>
    <col min="4921" max="4921" width="10.5703125" customWidth="1"/>
    <col min="4922" max="4922" width="2.140625" customWidth="1"/>
    <col min="4923" max="4923" width="10.85546875" customWidth="1"/>
    <col min="4924" max="4924" width="10.28515625" customWidth="1"/>
    <col min="4925" max="4925" width="10.42578125" customWidth="1"/>
    <col min="4926" max="4926" width="1.85546875" customWidth="1"/>
    <col min="4927" max="4938" width="0" hidden="1" customWidth="1"/>
    <col min="4939" max="4939" width="11.7109375" customWidth="1"/>
    <col min="4940" max="4940" width="10.140625" customWidth="1"/>
    <col min="4941" max="4941" width="11.7109375" customWidth="1"/>
    <col min="4942" max="4942" width="1.140625" customWidth="1"/>
    <col min="4943" max="4944" width="10.85546875" customWidth="1"/>
    <col min="4945" max="4945" width="10.7109375" customWidth="1"/>
    <col min="4946" max="4946" width="1.140625" customWidth="1"/>
    <col min="4947" max="4947" width="10" customWidth="1"/>
    <col min="4948" max="4948" width="9.85546875" customWidth="1"/>
    <col min="4949" max="4949" width="10.42578125" customWidth="1"/>
    <col min="4950" max="4950" width="1.140625" customWidth="1"/>
    <col min="4951" max="4951" width="10" customWidth="1"/>
    <col min="4952" max="4952" width="9.85546875" customWidth="1"/>
    <col min="4953" max="4953" width="10.85546875" bestFit="1" customWidth="1"/>
    <col min="4954" max="4954" width="1.42578125" customWidth="1"/>
    <col min="4955" max="4955" width="12.140625" customWidth="1"/>
    <col min="4956" max="4956" width="10.7109375" customWidth="1"/>
    <col min="4957" max="4957" width="14.42578125" customWidth="1"/>
    <col min="4958" max="4958" width="1.7109375" customWidth="1"/>
    <col min="4959" max="4959" width="11.28515625" customWidth="1"/>
    <col min="4960" max="4960" width="11.5703125" bestFit="1" customWidth="1"/>
    <col min="4961" max="4961" width="12.42578125" customWidth="1"/>
    <col min="4962" max="4962" width="1.7109375" customWidth="1"/>
    <col min="4963" max="4963" width="13.42578125" customWidth="1"/>
    <col min="4964" max="4964" width="11.140625" customWidth="1"/>
    <col min="4965" max="4965" width="11.28515625" customWidth="1"/>
    <col min="4966" max="4966" width="1.5703125" customWidth="1"/>
    <col min="4967" max="4967" width="14.42578125" customWidth="1"/>
    <col min="4968" max="4968" width="10.85546875" customWidth="1"/>
    <col min="4969" max="4969" width="13.5703125" customWidth="1"/>
    <col min="4970" max="4970" width="1.42578125" customWidth="1"/>
    <col min="4971" max="4971" width="15.28515625" customWidth="1"/>
    <col min="4972" max="4972" width="11.5703125" customWidth="1"/>
    <col min="4973" max="4973" width="14.28515625" customWidth="1"/>
    <col min="4974" max="4974" width="1.5703125" customWidth="1"/>
    <col min="4975" max="4975" width="16" customWidth="1"/>
    <col min="4976" max="4976" width="11.28515625" customWidth="1"/>
    <col min="4977" max="4977" width="13.5703125" customWidth="1"/>
    <col min="4978" max="4978" width="1.5703125" customWidth="1"/>
    <col min="4979" max="4979" width="15.140625" customWidth="1"/>
    <col min="4980" max="4980" width="11.7109375" customWidth="1"/>
    <col min="4981" max="4981" width="13.7109375" customWidth="1"/>
    <col min="4982" max="4982" width="1.42578125" customWidth="1"/>
    <col min="4983" max="4985" width="12.28515625" bestFit="1" customWidth="1"/>
    <col min="4986" max="4986" width="1.28515625" customWidth="1"/>
    <col min="4987" max="4989" width="12.28515625" bestFit="1" customWidth="1"/>
    <col min="4990" max="4990" width="1.42578125" customWidth="1"/>
    <col min="4991" max="4991" width="11.7109375" customWidth="1"/>
    <col min="4992" max="4992" width="12.28515625" bestFit="1" customWidth="1"/>
    <col min="4993" max="4993" width="11.7109375" customWidth="1"/>
    <col min="4994" max="4994" width="1.42578125" customWidth="1"/>
    <col min="5121" max="5121" width="18.42578125" customWidth="1"/>
    <col min="5122" max="5122" width="1.28515625" customWidth="1"/>
    <col min="5123" max="5123" width="13.7109375" customWidth="1"/>
    <col min="5124" max="5124" width="11.28515625" bestFit="1" customWidth="1"/>
    <col min="5125" max="5125" width="10.7109375" customWidth="1"/>
    <col min="5126" max="5133" width="0" hidden="1" customWidth="1"/>
    <col min="5134" max="5134" width="1.28515625" customWidth="1"/>
    <col min="5135" max="5138" width="0" hidden="1" customWidth="1"/>
    <col min="5139" max="5139" width="11" customWidth="1"/>
    <col min="5140" max="5140" width="10.42578125" customWidth="1"/>
    <col min="5141" max="5141" width="11.5703125" customWidth="1"/>
    <col min="5142" max="5165" width="0" hidden="1" customWidth="1"/>
    <col min="5166" max="5166" width="1.28515625" customWidth="1"/>
    <col min="5167" max="5167" width="11.7109375" customWidth="1"/>
    <col min="5168" max="5168" width="10.85546875" customWidth="1"/>
    <col min="5169" max="5169" width="11" customWidth="1"/>
    <col min="5170" max="5170" width="1.140625" customWidth="1"/>
    <col min="5171" max="5172" width="10.85546875" customWidth="1"/>
    <col min="5173" max="5173" width="11" customWidth="1"/>
    <col min="5174" max="5174" width="1.5703125" customWidth="1"/>
    <col min="5175" max="5175" width="10.7109375" customWidth="1"/>
    <col min="5176" max="5176" width="10.140625" customWidth="1"/>
    <col min="5177" max="5177" width="10.5703125" customWidth="1"/>
    <col min="5178" max="5178" width="2.140625" customWidth="1"/>
    <col min="5179" max="5179" width="10.85546875" customWidth="1"/>
    <col min="5180" max="5180" width="10.28515625" customWidth="1"/>
    <col min="5181" max="5181" width="10.42578125" customWidth="1"/>
    <col min="5182" max="5182" width="1.85546875" customWidth="1"/>
    <col min="5183" max="5194" width="0" hidden="1" customWidth="1"/>
    <col min="5195" max="5195" width="11.7109375" customWidth="1"/>
    <col min="5196" max="5196" width="10.140625" customWidth="1"/>
    <col min="5197" max="5197" width="11.7109375" customWidth="1"/>
    <col min="5198" max="5198" width="1.140625" customWidth="1"/>
    <col min="5199" max="5200" width="10.85546875" customWidth="1"/>
    <col min="5201" max="5201" width="10.7109375" customWidth="1"/>
    <col min="5202" max="5202" width="1.140625" customWidth="1"/>
    <col min="5203" max="5203" width="10" customWidth="1"/>
    <col min="5204" max="5204" width="9.85546875" customWidth="1"/>
    <col min="5205" max="5205" width="10.42578125" customWidth="1"/>
    <col min="5206" max="5206" width="1.140625" customWidth="1"/>
    <col min="5207" max="5207" width="10" customWidth="1"/>
    <col min="5208" max="5208" width="9.85546875" customWidth="1"/>
    <col min="5209" max="5209" width="10.85546875" bestFit="1" customWidth="1"/>
    <col min="5210" max="5210" width="1.42578125" customWidth="1"/>
    <col min="5211" max="5211" width="12.140625" customWidth="1"/>
    <col min="5212" max="5212" width="10.7109375" customWidth="1"/>
    <col min="5213" max="5213" width="14.42578125" customWidth="1"/>
    <col min="5214" max="5214" width="1.7109375" customWidth="1"/>
    <col min="5215" max="5215" width="11.28515625" customWidth="1"/>
    <col min="5216" max="5216" width="11.5703125" bestFit="1" customWidth="1"/>
    <col min="5217" max="5217" width="12.42578125" customWidth="1"/>
    <col min="5218" max="5218" width="1.7109375" customWidth="1"/>
    <col min="5219" max="5219" width="13.42578125" customWidth="1"/>
    <col min="5220" max="5220" width="11.140625" customWidth="1"/>
    <col min="5221" max="5221" width="11.28515625" customWidth="1"/>
    <col min="5222" max="5222" width="1.5703125" customWidth="1"/>
    <col min="5223" max="5223" width="14.42578125" customWidth="1"/>
    <col min="5224" max="5224" width="10.85546875" customWidth="1"/>
    <col min="5225" max="5225" width="13.5703125" customWidth="1"/>
    <col min="5226" max="5226" width="1.42578125" customWidth="1"/>
    <col min="5227" max="5227" width="15.28515625" customWidth="1"/>
    <col min="5228" max="5228" width="11.5703125" customWidth="1"/>
    <col min="5229" max="5229" width="14.28515625" customWidth="1"/>
    <col min="5230" max="5230" width="1.5703125" customWidth="1"/>
    <col min="5231" max="5231" width="16" customWidth="1"/>
    <col min="5232" max="5232" width="11.28515625" customWidth="1"/>
    <col min="5233" max="5233" width="13.5703125" customWidth="1"/>
    <col min="5234" max="5234" width="1.5703125" customWidth="1"/>
    <col min="5235" max="5235" width="15.140625" customWidth="1"/>
    <col min="5236" max="5236" width="11.7109375" customWidth="1"/>
    <col min="5237" max="5237" width="13.7109375" customWidth="1"/>
    <col min="5238" max="5238" width="1.42578125" customWidth="1"/>
    <col min="5239" max="5241" width="12.28515625" bestFit="1" customWidth="1"/>
    <col min="5242" max="5242" width="1.28515625" customWidth="1"/>
    <col min="5243" max="5245" width="12.28515625" bestFit="1" customWidth="1"/>
    <col min="5246" max="5246" width="1.42578125" customWidth="1"/>
    <col min="5247" max="5247" width="11.7109375" customWidth="1"/>
    <col min="5248" max="5248" width="12.28515625" bestFit="1" customWidth="1"/>
    <col min="5249" max="5249" width="11.7109375" customWidth="1"/>
    <col min="5250" max="5250" width="1.42578125" customWidth="1"/>
    <col min="5377" max="5377" width="18.42578125" customWidth="1"/>
    <col min="5378" max="5378" width="1.28515625" customWidth="1"/>
    <col min="5379" max="5379" width="13.7109375" customWidth="1"/>
    <col min="5380" max="5380" width="11.28515625" bestFit="1" customWidth="1"/>
    <col min="5381" max="5381" width="10.7109375" customWidth="1"/>
    <col min="5382" max="5389" width="0" hidden="1" customWidth="1"/>
    <col min="5390" max="5390" width="1.28515625" customWidth="1"/>
    <col min="5391" max="5394" width="0" hidden="1" customWidth="1"/>
    <col min="5395" max="5395" width="11" customWidth="1"/>
    <col min="5396" max="5396" width="10.42578125" customWidth="1"/>
    <col min="5397" max="5397" width="11.5703125" customWidth="1"/>
    <col min="5398" max="5421" width="0" hidden="1" customWidth="1"/>
    <col min="5422" max="5422" width="1.28515625" customWidth="1"/>
    <col min="5423" max="5423" width="11.7109375" customWidth="1"/>
    <col min="5424" max="5424" width="10.85546875" customWidth="1"/>
    <col min="5425" max="5425" width="11" customWidth="1"/>
    <col min="5426" max="5426" width="1.140625" customWidth="1"/>
    <col min="5427" max="5428" width="10.85546875" customWidth="1"/>
    <col min="5429" max="5429" width="11" customWidth="1"/>
    <col min="5430" max="5430" width="1.5703125" customWidth="1"/>
    <col min="5431" max="5431" width="10.7109375" customWidth="1"/>
    <col min="5432" max="5432" width="10.140625" customWidth="1"/>
    <col min="5433" max="5433" width="10.5703125" customWidth="1"/>
    <col min="5434" max="5434" width="2.140625" customWidth="1"/>
    <col min="5435" max="5435" width="10.85546875" customWidth="1"/>
    <col min="5436" max="5436" width="10.28515625" customWidth="1"/>
    <col min="5437" max="5437" width="10.42578125" customWidth="1"/>
    <col min="5438" max="5438" width="1.85546875" customWidth="1"/>
    <col min="5439" max="5450" width="0" hidden="1" customWidth="1"/>
    <col min="5451" max="5451" width="11.7109375" customWidth="1"/>
    <col min="5452" max="5452" width="10.140625" customWidth="1"/>
    <col min="5453" max="5453" width="11.7109375" customWidth="1"/>
    <col min="5454" max="5454" width="1.140625" customWidth="1"/>
    <col min="5455" max="5456" width="10.85546875" customWidth="1"/>
    <col min="5457" max="5457" width="10.7109375" customWidth="1"/>
    <col min="5458" max="5458" width="1.140625" customWidth="1"/>
    <col min="5459" max="5459" width="10" customWidth="1"/>
    <col min="5460" max="5460" width="9.85546875" customWidth="1"/>
    <col min="5461" max="5461" width="10.42578125" customWidth="1"/>
    <col min="5462" max="5462" width="1.140625" customWidth="1"/>
    <col min="5463" max="5463" width="10" customWidth="1"/>
    <col min="5464" max="5464" width="9.85546875" customWidth="1"/>
    <col min="5465" max="5465" width="10.85546875" bestFit="1" customWidth="1"/>
    <col min="5466" max="5466" width="1.42578125" customWidth="1"/>
    <col min="5467" max="5467" width="12.140625" customWidth="1"/>
    <col min="5468" max="5468" width="10.7109375" customWidth="1"/>
    <col min="5469" max="5469" width="14.42578125" customWidth="1"/>
    <col min="5470" max="5470" width="1.7109375" customWidth="1"/>
    <col min="5471" max="5471" width="11.28515625" customWidth="1"/>
    <col min="5472" max="5472" width="11.5703125" bestFit="1" customWidth="1"/>
    <col min="5473" max="5473" width="12.42578125" customWidth="1"/>
    <col min="5474" max="5474" width="1.7109375" customWidth="1"/>
    <col min="5475" max="5475" width="13.42578125" customWidth="1"/>
    <col min="5476" max="5476" width="11.140625" customWidth="1"/>
    <col min="5477" max="5477" width="11.28515625" customWidth="1"/>
    <col min="5478" max="5478" width="1.5703125" customWidth="1"/>
    <col min="5479" max="5479" width="14.42578125" customWidth="1"/>
    <col min="5480" max="5480" width="10.85546875" customWidth="1"/>
    <col min="5481" max="5481" width="13.5703125" customWidth="1"/>
    <col min="5482" max="5482" width="1.42578125" customWidth="1"/>
    <col min="5483" max="5483" width="15.28515625" customWidth="1"/>
    <col min="5484" max="5484" width="11.5703125" customWidth="1"/>
    <col min="5485" max="5485" width="14.28515625" customWidth="1"/>
    <col min="5486" max="5486" width="1.5703125" customWidth="1"/>
    <col min="5487" max="5487" width="16" customWidth="1"/>
    <col min="5488" max="5488" width="11.28515625" customWidth="1"/>
    <col min="5489" max="5489" width="13.5703125" customWidth="1"/>
    <col min="5490" max="5490" width="1.5703125" customWidth="1"/>
    <col min="5491" max="5491" width="15.140625" customWidth="1"/>
    <col min="5492" max="5492" width="11.7109375" customWidth="1"/>
    <col min="5493" max="5493" width="13.7109375" customWidth="1"/>
    <col min="5494" max="5494" width="1.42578125" customWidth="1"/>
    <col min="5495" max="5497" width="12.28515625" bestFit="1" customWidth="1"/>
    <col min="5498" max="5498" width="1.28515625" customWidth="1"/>
    <col min="5499" max="5501" width="12.28515625" bestFit="1" customWidth="1"/>
    <col min="5502" max="5502" width="1.42578125" customWidth="1"/>
    <col min="5503" max="5503" width="11.7109375" customWidth="1"/>
    <col min="5504" max="5504" width="12.28515625" bestFit="1" customWidth="1"/>
    <col min="5505" max="5505" width="11.7109375" customWidth="1"/>
    <col min="5506" max="5506" width="1.42578125" customWidth="1"/>
    <col min="5633" max="5633" width="18.42578125" customWidth="1"/>
    <col min="5634" max="5634" width="1.28515625" customWidth="1"/>
    <col min="5635" max="5635" width="13.7109375" customWidth="1"/>
    <col min="5636" max="5636" width="11.28515625" bestFit="1" customWidth="1"/>
    <col min="5637" max="5637" width="10.7109375" customWidth="1"/>
    <col min="5638" max="5645" width="0" hidden="1" customWidth="1"/>
    <col min="5646" max="5646" width="1.28515625" customWidth="1"/>
    <col min="5647" max="5650" width="0" hidden="1" customWidth="1"/>
    <col min="5651" max="5651" width="11" customWidth="1"/>
    <col min="5652" max="5652" width="10.42578125" customWidth="1"/>
    <col min="5653" max="5653" width="11.5703125" customWidth="1"/>
    <col min="5654" max="5677" width="0" hidden="1" customWidth="1"/>
    <col min="5678" max="5678" width="1.28515625" customWidth="1"/>
    <col min="5679" max="5679" width="11.7109375" customWidth="1"/>
    <col min="5680" max="5680" width="10.85546875" customWidth="1"/>
    <col min="5681" max="5681" width="11" customWidth="1"/>
    <col min="5682" max="5682" width="1.140625" customWidth="1"/>
    <col min="5683" max="5684" width="10.85546875" customWidth="1"/>
    <col min="5685" max="5685" width="11" customWidth="1"/>
    <col min="5686" max="5686" width="1.5703125" customWidth="1"/>
    <col min="5687" max="5687" width="10.7109375" customWidth="1"/>
    <col min="5688" max="5688" width="10.140625" customWidth="1"/>
    <col min="5689" max="5689" width="10.5703125" customWidth="1"/>
    <col min="5690" max="5690" width="2.140625" customWidth="1"/>
    <col min="5691" max="5691" width="10.85546875" customWidth="1"/>
    <col min="5692" max="5692" width="10.28515625" customWidth="1"/>
    <col min="5693" max="5693" width="10.42578125" customWidth="1"/>
    <col min="5694" max="5694" width="1.85546875" customWidth="1"/>
    <col min="5695" max="5706" width="0" hidden="1" customWidth="1"/>
    <col min="5707" max="5707" width="11.7109375" customWidth="1"/>
    <col min="5708" max="5708" width="10.140625" customWidth="1"/>
    <col min="5709" max="5709" width="11.7109375" customWidth="1"/>
    <col min="5710" max="5710" width="1.140625" customWidth="1"/>
    <col min="5711" max="5712" width="10.85546875" customWidth="1"/>
    <col min="5713" max="5713" width="10.7109375" customWidth="1"/>
    <col min="5714" max="5714" width="1.140625" customWidth="1"/>
    <col min="5715" max="5715" width="10" customWidth="1"/>
    <col min="5716" max="5716" width="9.85546875" customWidth="1"/>
    <col min="5717" max="5717" width="10.42578125" customWidth="1"/>
    <col min="5718" max="5718" width="1.140625" customWidth="1"/>
    <col min="5719" max="5719" width="10" customWidth="1"/>
    <col min="5720" max="5720" width="9.85546875" customWidth="1"/>
    <col min="5721" max="5721" width="10.85546875" bestFit="1" customWidth="1"/>
    <col min="5722" max="5722" width="1.42578125" customWidth="1"/>
    <col min="5723" max="5723" width="12.140625" customWidth="1"/>
    <col min="5724" max="5724" width="10.7109375" customWidth="1"/>
    <col min="5725" max="5725" width="14.42578125" customWidth="1"/>
    <col min="5726" max="5726" width="1.7109375" customWidth="1"/>
    <col min="5727" max="5727" width="11.28515625" customWidth="1"/>
    <col min="5728" max="5728" width="11.5703125" bestFit="1" customWidth="1"/>
    <col min="5729" max="5729" width="12.42578125" customWidth="1"/>
    <col min="5730" max="5730" width="1.7109375" customWidth="1"/>
    <col min="5731" max="5731" width="13.42578125" customWidth="1"/>
    <col min="5732" max="5732" width="11.140625" customWidth="1"/>
    <col min="5733" max="5733" width="11.28515625" customWidth="1"/>
    <col min="5734" max="5734" width="1.5703125" customWidth="1"/>
    <col min="5735" max="5735" width="14.42578125" customWidth="1"/>
    <col min="5736" max="5736" width="10.85546875" customWidth="1"/>
    <col min="5737" max="5737" width="13.5703125" customWidth="1"/>
    <col min="5738" max="5738" width="1.42578125" customWidth="1"/>
    <col min="5739" max="5739" width="15.28515625" customWidth="1"/>
    <col min="5740" max="5740" width="11.5703125" customWidth="1"/>
    <col min="5741" max="5741" width="14.28515625" customWidth="1"/>
    <col min="5742" max="5742" width="1.5703125" customWidth="1"/>
    <col min="5743" max="5743" width="16" customWidth="1"/>
    <col min="5744" max="5744" width="11.28515625" customWidth="1"/>
    <col min="5745" max="5745" width="13.5703125" customWidth="1"/>
    <col min="5746" max="5746" width="1.5703125" customWidth="1"/>
    <col min="5747" max="5747" width="15.140625" customWidth="1"/>
    <col min="5748" max="5748" width="11.7109375" customWidth="1"/>
    <col min="5749" max="5749" width="13.7109375" customWidth="1"/>
    <col min="5750" max="5750" width="1.42578125" customWidth="1"/>
    <col min="5751" max="5753" width="12.28515625" bestFit="1" customWidth="1"/>
    <col min="5754" max="5754" width="1.28515625" customWidth="1"/>
    <col min="5755" max="5757" width="12.28515625" bestFit="1" customWidth="1"/>
    <col min="5758" max="5758" width="1.42578125" customWidth="1"/>
    <col min="5759" max="5759" width="11.7109375" customWidth="1"/>
    <col min="5760" max="5760" width="12.28515625" bestFit="1" customWidth="1"/>
    <col min="5761" max="5761" width="11.7109375" customWidth="1"/>
    <col min="5762" max="5762" width="1.42578125" customWidth="1"/>
    <col min="5889" max="5889" width="18.42578125" customWidth="1"/>
    <col min="5890" max="5890" width="1.28515625" customWidth="1"/>
    <col min="5891" max="5891" width="13.7109375" customWidth="1"/>
    <col min="5892" max="5892" width="11.28515625" bestFit="1" customWidth="1"/>
    <col min="5893" max="5893" width="10.7109375" customWidth="1"/>
    <col min="5894" max="5901" width="0" hidden="1" customWidth="1"/>
    <col min="5902" max="5902" width="1.28515625" customWidth="1"/>
    <col min="5903" max="5906" width="0" hidden="1" customWidth="1"/>
    <col min="5907" max="5907" width="11" customWidth="1"/>
    <col min="5908" max="5908" width="10.42578125" customWidth="1"/>
    <col min="5909" max="5909" width="11.5703125" customWidth="1"/>
    <col min="5910" max="5933" width="0" hidden="1" customWidth="1"/>
    <col min="5934" max="5934" width="1.28515625" customWidth="1"/>
    <col min="5935" max="5935" width="11.7109375" customWidth="1"/>
    <col min="5936" max="5936" width="10.85546875" customWidth="1"/>
    <col min="5937" max="5937" width="11" customWidth="1"/>
    <col min="5938" max="5938" width="1.140625" customWidth="1"/>
    <col min="5939" max="5940" width="10.85546875" customWidth="1"/>
    <col min="5941" max="5941" width="11" customWidth="1"/>
    <col min="5942" max="5942" width="1.5703125" customWidth="1"/>
    <col min="5943" max="5943" width="10.7109375" customWidth="1"/>
    <col min="5944" max="5944" width="10.140625" customWidth="1"/>
    <col min="5945" max="5945" width="10.5703125" customWidth="1"/>
    <col min="5946" max="5946" width="2.140625" customWidth="1"/>
    <col min="5947" max="5947" width="10.85546875" customWidth="1"/>
    <col min="5948" max="5948" width="10.28515625" customWidth="1"/>
    <col min="5949" max="5949" width="10.42578125" customWidth="1"/>
    <col min="5950" max="5950" width="1.85546875" customWidth="1"/>
    <col min="5951" max="5962" width="0" hidden="1" customWidth="1"/>
    <col min="5963" max="5963" width="11.7109375" customWidth="1"/>
    <col min="5964" max="5964" width="10.140625" customWidth="1"/>
    <col min="5965" max="5965" width="11.7109375" customWidth="1"/>
    <col min="5966" max="5966" width="1.140625" customWidth="1"/>
    <col min="5967" max="5968" width="10.85546875" customWidth="1"/>
    <col min="5969" max="5969" width="10.7109375" customWidth="1"/>
    <col min="5970" max="5970" width="1.140625" customWidth="1"/>
    <col min="5971" max="5971" width="10" customWidth="1"/>
    <col min="5972" max="5972" width="9.85546875" customWidth="1"/>
    <col min="5973" max="5973" width="10.42578125" customWidth="1"/>
    <col min="5974" max="5974" width="1.140625" customWidth="1"/>
    <col min="5975" max="5975" width="10" customWidth="1"/>
    <col min="5976" max="5976" width="9.85546875" customWidth="1"/>
    <col min="5977" max="5977" width="10.85546875" bestFit="1" customWidth="1"/>
    <col min="5978" max="5978" width="1.42578125" customWidth="1"/>
    <col min="5979" max="5979" width="12.140625" customWidth="1"/>
    <col min="5980" max="5980" width="10.7109375" customWidth="1"/>
    <col min="5981" max="5981" width="14.42578125" customWidth="1"/>
    <col min="5982" max="5982" width="1.7109375" customWidth="1"/>
    <col min="5983" max="5983" width="11.28515625" customWidth="1"/>
    <col min="5984" max="5984" width="11.5703125" bestFit="1" customWidth="1"/>
    <col min="5985" max="5985" width="12.42578125" customWidth="1"/>
    <col min="5986" max="5986" width="1.7109375" customWidth="1"/>
    <col min="5987" max="5987" width="13.42578125" customWidth="1"/>
    <col min="5988" max="5988" width="11.140625" customWidth="1"/>
    <col min="5989" max="5989" width="11.28515625" customWidth="1"/>
    <col min="5990" max="5990" width="1.5703125" customWidth="1"/>
    <col min="5991" max="5991" width="14.42578125" customWidth="1"/>
    <col min="5992" max="5992" width="10.85546875" customWidth="1"/>
    <col min="5993" max="5993" width="13.5703125" customWidth="1"/>
    <col min="5994" max="5994" width="1.42578125" customWidth="1"/>
    <col min="5995" max="5995" width="15.28515625" customWidth="1"/>
    <col min="5996" max="5996" width="11.5703125" customWidth="1"/>
    <col min="5997" max="5997" width="14.28515625" customWidth="1"/>
    <col min="5998" max="5998" width="1.5703125" customWidth="1"/>
    <col min="5999" max="5999" width="16" customWidth="1"/>
    <col min="6000" max="6000" width="11.28515625" customWidth="1"/>
    <col min="6001" max="6001" width="13.5703125" customWidth="1"/>
    <col min="6002" max="6002" width="1.5703125" customWidth="1"/>
    <col min="6003" max="6003" width="15.140625" customWidth="1"/>
    <col min="6004" max="6004" width="11.7109375" customWidth="1"/>
    <col min="6005" max="6005" width="13.7109375" customWidth="1"/>
    <col min="6006" max="6006" width="1.42578125" customWidth="1"/>
    <col min="6007" max="6009" width="12.28515625" bestFit="1" customWidth="1"/>
    <col min="6010" max="6010" width="1.28515625" customWidth="1"/>
    <col min="6011" max="6013" width="12.28515625" bestFit="1" customWidth="1"/>
    <col min="6014" max="6014" width="1.42578125" customWidth="1"/>
    <col min="6015" max="6015" width="11.7109375" customWidth="1"/>
    <col min="6016" max="6016" width="12.28515625" bestFit="1" customWidth="1"/>
    <col min="6017" max="6017" width="11.7109375" customWidth="1"/>
    <col min="6018" max="6018" width="1.42578125" customWidth="1"/>
    <col min="6145" max="6145" width="18.42578125" customWidth="1"/>
    <col min="6146" max="6146" width="1.28515625" customWidth="1"/>
    <col min="6147" max="6147" width="13.7109375" customWidth="1"/>
    <col min="6148" max="6148" width="11.28515625" bestFit="1" customWidth="1"/>
    <col min="6149" max="6149" width="10.7109375" customWidth="1"/>
    <col min="6150" max="6157" width="0" hidden="1" customWidth="1"/>
    <col min="6158" max="6158" width="1.28515625" customWidth="1"/>
    <col min="6159" max="6162" width="0" hidden="1" customWidth="1"/>
    <col min="6163" max="6163" width="11" customWidth="1"/>
    <col min="6164" max="6164" width="10.42578125" customWidth="1"/>
    <col min="6165" max="6165" width="11.5703125" customWidth="1"/>
    <col min="6166" max="6189" width="0" hidden="1" customWidth="1"/>
    <col min="6190" max="6190" width="1.28515625" customWidth="1"/>
    <col min="6191" max="6191" width="11.7109375" customWidth="1"/>
    <col min="6192" max="6192" width="10.85546875" customWidth="1"/>
    <col min="6193" max="6193" width="11" customWidth="1"/>
    <col min="6194" max="6194" width="1.140625" customWidth="1"/>
    <col min="6195" max="6196" width="10.85546875" customWidth="1"/>
    <col min="6197" max="6197" width="11" customWidth="1"/>
    <col min="6198" max="6198" width="1.5703125" customWidth="1"/>
    <col min="6199" max="6199" width="10.7109375" customWidth="1"/>
    <col min="6200" max="6200" width="10.140625" customWidth="1"/>
    <col min="6201" max="6201" width="10.5703125" customWidth="1"/>
    <col min="6202" max="6202" width="2.140625" customWidth="1"/>
    <col min="6203" max="6203" width="10.85546875" customWidth="1"/>
    <col min="6204" max="6204" width="10.28515625" customWidth="1"/>
    <col min="6205" max="6205" width="10.42578125" customWidth="1"/>
    <col min="6206" max="6206" width="1.85546875" customWidth="1"/>
    <col min="6207" max="6218" width="0" hidden="1" customWidth="1"/>
    <col min="6219" max="6219" width="11.7109375" customWidth="1"/>
    <col min="6220" max="6220" width="10.140625" customWidth="1"/>
    <col min="6221" max="6221" width="11.7109375" customWidth="1"/>
    <col min="6222" max="6222" width="1.140625" customWidth="1"/>
    <col min="6223" max="6224" width="10.85546875" customWidth="1"/>
    <col min="6225" max="6225" width="10.7109375" customWidth="1"/>
    <col min="6226" max="6226" width="1.140625" customWidth="1"/>
    <col min="6227" max="6227" width="10" customWidth="1"/>
    <col min="6228" max="6228" width="9.85546875" customWidth="1"/>
    <col min="6229" max="6229" width="10.42578125" customWidth="1"/>
    <col min="6230" max="6230" width="1.140625" customWidth="1"/>
    <col min="6231" max="6231" width="10" customWidth="1"/>
    <col min="6232" max="6232" width="9.85546875" customWidth="1"/>
    <col min="6233" max="6233" width="10.85546875" bestFit="1" customWidth="1"/>
    <col min="6234" max="6234" width="1.42578125" customWidth="1"/>
    <col min="6235" max="6235" width="12.140625" customWidth="1"/>
    <col min="6236" max="6236" width="10.7109375" customWidth="1"/>
    <col min="6237" max="6237" width="14.42578125" customWidth="1"/>
    <col min="6238" max="6238" width="1.7109375" customWidth="1"/>
    <col min="6239" max="6239" width="11.28515625" customWidth="1"/>
    <col min="6240" max="6240" width="11.5703125" bestFit="1" customWidth="1"/>
    <col min="6241" max="6241" width="12.42578125" customWidth="1"/>
    <col min="6242" max="6242" width="1.7109375" customWidth="1"/>
    <col min="6243" max="6243" width="13.42578125" customWidth="1"/>
    <col min="6244" max="6244" width="11.140625" customWidth="1"/>
    <col min="6245" max="6245" width="11.28515625" customWidth="1"/>
    <col min="6246" max="6246" width="1.5703125" customWidth="1"/>
    <col min="6247" max="6247" width="14.42578125" customWidth="1"/>
    <col min="6248" max="6248" width="10.85546875" customWidth="1"/>
    <col min="6249" max="6249" width="13.5703125" customWidth="1"/>
    <col min="6250" max="6250" width="1.42578125" customWidth="1"/>
    <col min="6251" max="6251" width="15.28515625" customWidth="1"/>
    <col min="6252" max="6252" width="11.5703125" customWidth="1"/>
    <col min="6253" max="6253" width="14.28515625" customWidth="1"/>
    <col min="6254" max="6254" width="1.5703125" customWidth="1"/>
    <col min="6255" max="6255" width="16" customWidth="1"/>
    <col min="6256" max="6256" width="11.28515625" customWidth="1"/>
    <col min="6257" max="6257" width="13.5703125" customWidth="1"/>
    <col min="6258" max="6258" width="1.5703125" customWidth="1"/>
    <col min="6259" max="6259" width="15.140625" customWidth="1"/>
    <col min="6260" max="6260" width="11.7109375" customWidth="1"/>
    <col min="6261" max="6261" width="13.7109375" customWidth="1"/>
    <col min="6262" max="6262" width="1.42578125" customWidth="1"/>
    <col min="6263" max="6265" width="12.28515625" bestFit="1" customWidth="1"/>
    <col min="6266" max="6266" width="1.28515625" customWidth="1"/>
    <col min="6267" max="6269" width="12.28515625" bestFit="1" customWidth="1"/>
    <col min="6270" max="6270" width="1.42578125" customWidth="1"/>
    <col min="6271" max="6271" width="11.7109375" customWidth="1"/>
    <col min="6272" max="6272" width="12.28515625" bestFit="1" customWidth="1"/>
    <col min="6273" max="6273" width="11.7109375" customWidth="1"/>
    <col min="6274" max="6274" width="1.42578125" customWidth="1"/>
    <col min="6401" max="6401" width="18.42578125" customWidth="1"/>
    <col min="6402" max="6402" width="1.28515625" customWidth="1"/>
    <col min="6403" max="6403" width="13.7109375" customWidth="1"/>
    <col min="6404" max="6404" width="11.28515625" bestFit="1" customWidth="1"/>
    <col min="6405" max="6405" width="10.7109375" customWidth="1"/>
    <col min="6406" max="6413" width="0" hidden="1" customWidth="1"/>
    <col min="6414" max="6414" width="1.28515625" customWidth="1"/>
    <col min="6415" max="6418" width="0" hidden="1" customWidth="1"/>
    <col min="6419" max="6419" width="11" customWidth="1"/>
    <col min="6420" max="6420" width="10.42578125" customWidth="1"/>
    <col min="6421" max="6421" width="11.5703125" customWidth="1"/>
    <col min="6422" max="6445" width="0" hidden="1" customWidth="1"/>
    <col min="6446" max="6446" width="1.28515625" customWidth="1"/>
    <col min="6447" max="6447" width="11.7109375" customWidth="1"/>
    <col min="6448" max="6448" width="10.85546875" customWidth="1"/>
    <col min="6449" max="6449" width="11" customWidth="1"/>
    <col min="6450" max="6450" width="1.140625" customWidth="1"/>
    <col min="6451" max="6452" width="10.85546875" customWidth="1"/>
    <col min="6453" max="6453" width="11" customWidth="1"/>
    <col min="6454" max="6454" width="1.5703125" customWidth="1"/>
    <col min="6455" max="6455" width="10.7109375" customWidth="1"/>
    <col min="6456" max="6456" width="10.140625" customWidth="1"/>
    <col min="6457" max="6457" width="10.5703125" customWidth="1"/>
    <col min="6458" max="6458" width="2.140625" customWidth="1"/>
    <col min="6459" max="6459" width="10.85546875" customWidth="1"/>
    <col min="6460" max="6460" width="10.28515625" customWidth="1"/>
    <col min="6461" max="6461" width="10.42578125" customWidth="1"/>
    <col min="6462" max="6462" width="1.85546875" customWidth="1"/>
    <col min="6463" max="6474" width="0" hidden="1" customWidth="1"/>
    <col min="6475" max="6475" width="11.7109375" customWidth="1"/>
    <col min="6476" max="6476" width="10.140625" customWidth="1"/>
    <col min="6477" max="6477" width="11.7109375" customWidth="1"/>
    <col min="6478" max="6478" width="1.140625" customWidth="1"/>
    <col min="6479" max="6480" width="10.85546875" customWidth="1"/>
    <col min="6481" max="6481" width="10.7109375" customWidth="1"/>
    <col min="6482" max="6482" width="1.140625" customWidth="1"/>
    <col min="6483" max="6483" width="10" customWidth="1"/>
    <col min="6484" max="6484" width="9.85546875" customWidth="1"/>
    <col min="6485" max="6485" width="10.42578125" customWidth="1"/>
    <col min="6486" max="6486" width="1.140625" customWidth="1"/>
    <col min="6487" max="6487" width="10" customWidth="1"/>
    <col min="6488" max="6488" width="9.85546875" customWidth="1"/>
    <col min="6489" max="6489" width="10.85546875" bestFit="1" customWidth="1"/>
    <col min="6490" max="6490" width="1.42578125" customWidth="1"/>
    <col min="6491" max="6491" width="12.140625" customWidth="1"/>
    <col min="6492" max="6492" width="10.7109375" customWidth="1"/>
    <col min="6493" max="6493" width="14.42578125" customWidth="1"/>
    <col min="6494" max="6494" width="1.7109375" customWidth="1"/>
    <col min="6495" max="6495" width="11.28515625" customWidth="1"/>
    <col min="6496" max="6496" width="11.5703125" bestFit="1" customWidth="1"/>
    <col min="6497" max="6497" width="12.42578125" customWidth="1"/>
    <col min="6498" max="6498" width="1.7109375" customWidth="1"/>
    <col min="6499" max="6499" width="13.42578125" customWidth="1"/>
    <col min="6500" max="6500" width="11.140625" customWidth="1"/>
    <col min="6501" max="6501" width="11.28515625" customWidth="1"/>
    <col min="6502" max="6502" width="1.5703125" customWidth="1"/>
    <col min="6503" max="6503" width="14.42578125" customWidth="1"/>
    <col min="6504" max="6504" width="10.85546875" customWidth="1"/>
    <col min="6505" max="6505" width="13.5703125" customWidth="1"/>
    <col min="6506" max="6506" width="1.42578125" customWidth="1"/>
    <col min="6507" max="6507" width="15.28515625" customWidth="1"/>
    <col min="6508" max="6508" width="11.5703125" customWidth="1"/>
    <col min="6509" max="6509" width="14.28515625" customWidth="1"/>
    <col min="6510" max="6510" width="1.5703125" customWidth="1"/>
    <col min="6511" max="6511" width="16" customWidth="1"/>
    <col min="6512" max="6512" width="11.28515625" customWidth="1"/>
    <col min="6513" max="6513" width="13.5703125" customWidth="1"/>
    <col min="6514" max="6514" width="1.5703125" customWidth="1"/>
    <col min="6515" max="6515" width="15.140625" customWidth="1"/>
    <col min="6516" max="6516" width="11.7109375" customWidth="1"/>
    <col min="6517" max="6517" width="13.7109375" customWidth="1"/>
    <col min="6518" max="6518" width="1.42578125" customWidth="1"/>
    <col min="6519" max="6521" width="12.28515625" bestFit="1" customWidth="1"/>
    <col min="6522" max="6522" width="1.28515625" customWidth="1"/>
    <col min="6523" max="6525" width="12.28515625" bestFit="1" customWidth="1"/>
    <col min="6526" max="6526" width="1.42578125" customWidth="1"/>
    <col min="6527" max="6527" width="11.7109375" customWidth="1"/>
    <col min="6528" max="6528" width="12.28515625" bestFit="1" customWidth="1"/>
    <col min="6529" max="6529" width="11.7109375" customWidth="1"/>
    <col min="6530" max="6530" width="1.42578125" customWidth="1"/>
    <col min="6657" max="6657" width="18.42578125" customWidth="1"/>
    <col min="6658" max="6658" width="1.28515625" customWidth="1"/>
    <col min="6659" max="6659" width="13.7109375" customWidth="1"/>
    <col min="6660" max="6660" width="11.28515625" bestFit="1" customWidth="1"/>
    <col min="6661" max="6661" width="10.7109375" customWidth="1"/>
    <col min="6662" max="6669" width="0" hidden="1" customWidth="1"/>
    <col min="6670" max="6670" width="1.28515625" customWidth="1"/>
    <col min="6671" max="6674" width="0" hidden="1" customWidth="1"/>
    <col min="6675" max="6675" width="11" customWidth="1"/>
    <col min="6676" max="6676" width="10.42578125" customWidth="1"/>
    <col min="6677" max="6677" width="11.5703125" customWidth="1"/>
    <col min="6678" max="6701" width="0" hidden="1" customWidth="1"/>
    <col min="6702" max="6702" width="1.28515625" customWidth="1"/>
    <col min="6703" max="6703" width="11.7109375" customWidth="1"/>
    <col min="6704" max="6704" width="10.85546875" customWidth="1"/>
    <col min="6705" max="6705" width="11" customWidth="1"/>
    <col min="6706" max="6706" width="1.140625" customWidth="1"/>
    <col min="6707" max="6708" width="10.85546875" customWidth="1"/>
    <col min="6709" max="6709" width="11" customWidth="1"/>
    <col min="6710" max="6710" width="1.5703125" customWidth="1"/>
    <col min="6711" max="6711" width="10.7109375" customWidth="1"/>
    <col min="6712" max="6712" width="10.140625" customWidth="1"/>
    <col min="6713" max="6713" width="10.5703125" customWidth="1"/>
    <col min="6714" max="6714" width="2.140625" customWidth="1"/>
    <col min="6715" max="6715" width="10.85546875" customWidth="1"/>
    <col min="6716" max="6716" width="10.28515625" customWidth="1"/>
    <col min="6717" max="6717" width="10.42578125" customWidth="1"/>
    <col min="6718" max="6718" width="1.85546875" customWidth="1"/>
    <col min="6719" max="6730" width="0" hidden="1" customWidth="1"/>
    <col min="6731" max="6731" width="11.7109375" customWidth="1"/>
    <col min="6732" max="6732" width="10.140625" customWidth="1"/>
    <col min="6733" max="6733" width="11.7109375" customWidth="1"/>
    <col min="6734" max="6734" width="1.140625" customWidth="1"/>
    <col min="6735" max="6736" width="10.85546875" customWidth="1"/>
    <col min="6737" max="6737" width="10.7109375" customWidth="1"/>
    <col min="6738" max="6738" width="1.140625" customWidth="1"/>
    <col min="6739" max="6739" width="10" customWidth="1"/>
    <col min="6740" max="6740" width="9.85546875" customWidth="1"/>
    <col min="6741" max="6741" width="10.42578125" customWidth="1"/>
    <col min="6742" max="6742" width="1.140625" customWidth="1"/>
    <col min="6743" max="6743" width="10" customWidth="1"/>
    <col min="6744" max="6744" width="9.85546875" customWidth="1"/>
    <col min="6745" max="6745" width="10.85546875" bestFit="1" customWidth="1"/>
    <col min="6746" max="6746" width="1.42578125" customWidth="1"/>
    <col min="6747" max="6747" width="12.140625" customWidth="1"/>
    <col min="6748" max="6748" width="10.7109375" customWidth="1"/>
    <col min="6749" max="6749" width="14.42578125" customWidth="1"/>
    <col min="6750" max="6750" width="1.7109375" customWidth="1"/>
    <col min="6751" max="6751" width="11.28515625" customWidth="1"/>
    <col min="6752" max="6752" width="11.5703125" bestFit="1" customWidth="1"/>
    <col min="6753" max="6753" width="12.42578125" customWidth="1"/>
    <col min="6754" max="6754" width="1.7109375" customWidth="1"/>
    <col min="6755" max="6755" width="13.42578125" customWidth="1"/>
    <col min="6756" max="6756" width="11.140625" customWidth="1"/>
    <col min="6757" max="6757" width="11.28515625" customWidth="1"/>
    <col min="6758" max="6758" width="1.5703125" customWidth="1"/>
    <col min="6759" max="6759" width="14.42578125" customWidth="1"/>
    <col min="6760" max="6760" width="10.85546875" customWidth="1"/>
    <col min="6761" max="6761" width="13.5703125" customWidth="1"/>
    <col min="6762" max="6762" width="1.42578125" customWidth="1"/>
    <col min="6763" max="6763" width="15.28515625" customWidth="1"/>
    <col min="6764" max="6764" width="11.5703125" customWidth="1"/>
    <col min="6765" max="6765" width="14.28515625" customWidth="1"/>
    <col min="6766" max="6766" width="1.5703125" customWidth="1"/>
    <col min="6767" max="6767" width="16" customWidth="1"/>
    <col min="6768" max="6768" width="11.28515625" customWidth="1"/>
    <col min="6769" max="6769" width="13.5703125" customWidth="1"/>
    <col min="6770" max="6770" width="1.5703125" customWidth="1"/>
    <col min="6771" max="6771" width="15.140625" customWidth="1"/>
    <col min="6772" max="6772" width="11.7109375" customWidth="1"/>
    <col min="6773" max="6773" width="13.7109375" customWidth="1"/>
    <col min="6774" max="6774" width="1.42578125" customWidth="1"/>
    <col min="6775" max="6777" width="12.28515625" bestFit="1" customWidth="1"/>
    <col min="6778" max="6778" width="1.28515625" customWidth="1"/>
    <col min="6779" max="6781" width="12.28515625" bestFit="1" customWidth="1"/>
    <col min="6782" max="6782" width="1.42578125" customWidth="1"/>
    <col min="6783" max="6783" width="11.7109375" customWidth="1"/>
    <col min="6784" max="6784" width="12.28515625" bestFit="1" customWidth="1"/>
    <col min="6785" max="6785" width="11.7109375" customWidth="1"/>
    <col min="6786" max="6786" width="1.42578125" customWidth="1"/>
    <col min="6913" max="6913" width="18.42578125" customWidth="1"/>
    <col min="6914" max="6914" width="1.28515625" customWidth="1"/>
    <col min="6915" max="6915" width="13.7109375" customWidth="1"/>
    <col min="6916" max="6916" width="11.28515625" bestFit="1" customWidth="1"/>
    <col min="6917" max="6917" width="10.7109375" customWidth="1"/>
    <col min="6918" max="6925" width="0" hidden="1" customWidth="1"/>
    <col min="6926" max="6926" width="1.28515625" customWidth="1"/>
    <col min="6927" max="6930" width="0" hidden="1" customWidth="1"/>
    <col min="6931" max="6931" width="11" customWidth="1"/>
    <col min="6932" max="6932" width="10.42578125" customWidth="1"/>
    <col min="6933" max="6933" width="11.5703125" customWidth="1"/>
    <col min="6934" max="6957" width="0" hidden="1" customWidth="1"/>
    <col min="6958" max="6958" width="1.28515625" customWidth="1"/>
    <col min="6959" max="6959" width="11.7109375" customWidth="1"/>
    <col min="6960" max="6960" width="10.85546875" customWidth="1"/>
    <col min="6961" max="6961" width="11" customWidth="1"/>
    <col min="6962" max="6962" width="1.140625" customWidth="1"/>
    <col min="6963" max="6964" width="10.85546875" customWidth="1"/>
    <col min="6965" max="6965" width="11" customWidth="1"/>
    <col min="6966" max="6966" width="1.5703125" customWidth="1"/>
    <col min="6967" max="6967" width="10.7109375" customWidth="1"/>
    <col min="6968" max="6968" width="10.140625" customWidth="1"/>
    <col min="6969" max="6969" width="10.5703125" customWidth="1"/>
    <col min="6970" max="6970" width="2.140625" customWidth="1"/>
    <col min="6971" max="6971" width="10.85546875" customWidth="1"/>
    <col min="6972" max="6972" width="10.28515625" customWidth="1"/>
    <col min="6973" max="6973" width="10.42578125" customWidth="1"/>
    <col min="6974" max="6974" width="1.85546875" customWidth="1"/>
    <col min="6975" max="6986" width="0" hidden="1" customWidth="1"/>
    <col min="6987" max="6987" width="11.7109375" customWidth="1"/>
    <col min="6988" max="6988" width="10.140625" customWidth="1"/>
    <col min="6989" max="6989" width="11.7109375" customWidth="1"/>
    <col min="6990" max="6990" width="1.140625" customWidth="1"/>
    <col min="6991" max="6992" width="10.85546875" customWidth="1"/>
    <col min="6993" max="6993" width="10.7109375" customWidth="1"/>
    <col min="6994" max="6994" width="1.140625" customWidth="1"/>
    <col min="6995" max="6995" width="10" customWidth="1"/>
    <col min="6996" max="6996" width="9.85546875" customWidth="1"/>
    <col min="6997" max="6997" width="10.42578125" customWidth="1"/>
    <col min="6998" max="6998" width="1.140625" customWidth="1"/>
    <col min="6999" max="6999" width="10" customWidth="1"/>
    <col min="7000" max="7000" width="9.85546875" customWidth="1"/>
    <col min="7001" max="7001" width="10.85546875" bestFit="1" customWidth="1"/>
    <col min="7002" max="7002" width="1.42578125" customWidth="1"/>
    <col min="7003" max="7003" width="12.140625" customWidth="1"/>
    <col min="7004" max="7004" width="10.7109375" customWidth="1"/>
    <col min="7005" max="7005" width="14.42578125" customWidth="1"/>
    <col min="7006" max="7006" width="1.7109375" customWidth="1"/>
    <col min="7007" max="7007" width="11.28515625" customWidth="1"/>
    <col min="7008" max="7008" width="11.5703125" bestFit="1" customWidth="1"/>
    <col min="7009" max="7009" width="12.42578125" customWidth="1"/>
    <col min="7010" max="7010" width="1.7109375" customWidth="1"/>
    <col min="7011" max="7011" width="13.42578125" customWidth="1"/>
    <col min="7012" max="7012" width="11.140625" customWidth="1"/>
    <col min="7013" max="7013" width="11.28515625" customWidth="1"/>
    <col min="7014" max="7014" width="1.5703125" customWidth="1"/>
    <col min="7015" max="7015" width="14.42578125" customWidth="1"/>
    <col min="7016" max="7016" width="10.85546875" customWidth="1"/>
    <col min="7017" max="7017" width="13.5703125" customWidth="1"/>
    <col min="7018" max="7018" width="1.42578125" customWidth="1"/>
    <col min="7019" max="7019" width="15.28515625" customWidth="1"/>
    <col min="7020" max="7020" width="11.5703125" customWidth="1"/>
    <col min="7021" max="7021" width="14.28515625" customWidth="1"/>
    <col min="7022" max="7022" width="1.5703125" customWidth="1"/>
    <col min="7023" max="7023" width="16" customWidth="1"/>
    <col min="7024" max="7024" width="11.28515625" customWidth="1"/>
    <col min="7025" max="7025" width="13.5703125" customWidth="1"/>
    <col min="7026" max="7026" width="1.5703125" customWidth="1"/>
    <col min="7027" max="7027" width="15.140625" customWidth="1"/>
    <col min="7028" max="7028" width="11.7109375" customWidth="1"/>
    <col min="7029" max="7029" width="13.7109375" customWidth="1"/>
    <col min="7030" max="7030" width="1.42578125" customWidth="1"/>
    <col min="7031" max="7033" width="12.28515625" bestFit="1" customWidth="1"/>
    <col min="7034" max="7034" width="1.28515625" customWidth="1"/>
    <col min="7035" max="7037" width="12.28515625" bestFit="1" customWidth="1"/>
    <col min="7038" max="7038" width="1.42578125" customWidth="1"/>
    <col min="7039" max="7039" width="11.7109375" customWidth="1"/>
    <col min="7040" max="7040" width="12.28515625" bestFit="1" customWidth="1"/>
    <col min="7041" max="7041" width="11.7109375" customWidth="1"/>
    <col min="7042" max="7042" width="1.42578125" customWidth="1"/>
    <col min="7169" max="7169" width="18.42578125" customWidth="1"/>
    <col min="7170" max="7170" width="1.28515625" customWidth="1"/>
    <col min="7171" max="7171" width="13.7109375" customWidth="1"/>
    <col min="7172" max="7172" width="11.28515625" bestFit="1" customWidth="1"/>
    <col min="7173" max="7173" width="10.7109375" customWidth="1"/>
    <col min="7174" max="7181" width="0" hidden="1" customWidth="1"/>
    <col min="7182" max="7182" width="1.28515625" customWidth="1"/>
    <col min="7183" max="7186" width="0" hidden="1" customWidth="1"/>
    <col min="7187" max="7187" width="11" customWidth="1"/>
    <col min="7188" max="7188" width="10.42578125" customWidth="1"/>
    <col min="7189" max="7189" width="11.5703125" customWidth="1"/>
    <col min="7190" max="7213" width="0" hidden="1" customWidth="1"/>
    <col min="7214" max="7214" width="1.28515625" customWidth="1"/>
    <col min="7215" max="7215" width="11.7109375" customWidth="1"/>
    <col min="7216" max="7216" width="10.85546875" customWidth="1"/>
    <col min="7217" max="7217" width="11" customWidth="1"/>
    <col min="7218" max="7218" width="1.140625" customWidth="1"/>
    <col min="7219" max="7220" width="10.85546875" customWidth="1"/>
    <col min="7221" max="7221" width="11" customWidth="1"/>
    <col min="7222" max="7222" width="1.5703125" customWidth="1"/>
    <col min="7223" max="7223" width="10.7109375" customWidth="1"/>
    <col min="7224" max="7224" width="10.140625" customWidth="1"/>
    <col min="7225" max="7225" width="10.5703125" customWidth="1"/>
    <col min="7226" max="7226" width="2.140625" customWidth="1"/>
    <col min="7227" max="7227" width="10.85546875" customWidth="1"/>
    <col min="7228" max="7228" width="10.28515625" customWidth="1"/>
    <col min="7229" max="7229" width="10.42578125" customWidth="1"/>
    <col min="7230" max="7230" width="1.85546875" customWidth="1"/>
    <col min="7231" max="7242" width="0" hidden="1" customWidth="1"/>
    <col min="7243" max="7243" width="11.7109375" customWidth="1"/>
    <col min="7244" max="7244" width="10.140625" customWidth="1"/>
    <col min="7245" max="7245" width="11.7109375" customWidth="1"/>
    <col min="7246" max="7246" width="1.140625" customWidth="1"/>
    <col min="7247" max="7248" width="10.85546875" customWidth="1"/>
    <col min="7249" max="7249" width="10.7109375" customWidth="1"/>
    <col min="7250" max="7250" width="1.140625" customWidth="1"/>
    <col min="7251" max="7251" width="10" customWidth="1"/>
    <col min="7252" max="7252" width="9.85546875" customWidth="1"/>
    <col min="7253" max="7253" width="10.42578125" customWidth="1"/>
    <col min="7254" max="7254" width="1.140625" customWidth="1"/>
    <col min="7255" max="7255" width="10" customWidth="1"/>
    <col min="7256" max="7256" width="9.85546875" customWidth="1"/>
    <col min="7257" max="7257" width="10.85546875" bestFit="1" customWidth="1"/>
    <col min="7258" max="7258" width="1.42578125" customWidth="1"/>
    <col min="7259" max="7259" width="12.140625" customWidth="1"/>
    <col min="7260" max="7260" width="10.7109375" customWidth="1"/>
    <col min="7261" max="7261" width="14.42578125" customWidth="1"/>
    <col min="7262" max="7262" width="1.7109375" customWidth="1"/>
    <col min="7263" max="7263" width="11.28515625" customWidth="1"/>
    <col min="7264" max="7264" width="11.5703125" bestFit="1" customWidth="1"/>
    <col min="7265" max="7265" width="12.42578125" customWidth="1"/>
    <col min="7266" max="7266" width="1.7109375" customWidth="1"/>
    <col min="7267" max="7267" width="13.42578125" customWidth="1"/>
    <col min="7268" max="7268" width="11.140625" customWidth="1"/>
    <col min="7269" max="7269" width="11.28515625" customWidth="1"/>
    <col min="7270" max="7270" width="1.5703125" customWidth="1"/>
    <col min="7271" max="7271" width="14.42578125" customWidth="1"/>
    <col min="7272" max="7272" width="10.85546875" customWidth="1"/>
    <col min="7273" max="7273" width="13.5703125" customWidth="1"/>
    <col min="7274" max="7274" width="1.42578125" customWidth="1"/>
    <col min="7275" max="7275" width="15.28515625" customWidth="1"/>
    <col min="7276" max="7276" width="11.5703125" customWidth="1"/>
    <col min="7277" max="7277" width="14.28515625" customWidth="1"/>
    <col min="7278" max="7278" width="1.5703125" customWidth="1"/>
    <col min="7279" max="7279" width="16" customWidth="1"/>
    <col min="7280" max="7280" width="11.28515625" customWidth="1"/>
    <col min="7281" max="7281" width="13.5703125" customWidth="1"/>
    <col min="7282" max="7282" width="1.5703125" customWidth="1"/>
    <col min="7283" max="7283" width="15.140625" customWidth="1"/>
    <col min="7284" max="7284" width="11.7109375" customWidth="1"/>
    <col min="7285" max="7285" width="13.7109375" customWidth="1"/>
    <col min="7286" max="7286" width="1.42578125" customWidth="1"/>
    <col min="7287" max="7289" width="12.28515625" bestFit="1" customWidth="1"/>
    <col min="7290" max="7290" width="1.28515625" customWidth="1"/>
    <col min="7291" max="7293" width="12.28515625" bestFit="1" customWidth="1"/>
    <col min="7294" max="7294" width="1.42578125" customWidth="1"/>
    <col min="7295" max="7295" width="11.7109375" customWidth="1"/>
    <col min="7296" max="7296" width="12.28515625" bestFit="1" customWidth="1"/>
    <col min="7297" max="7297" width="11.7109375" customWidth="1"/>
    <col min="7298" max="7298" width="1.42578125" customWidth="1"/>
    <col min="7425" max="7425" width="18.42578125" customWidth="1"/>
    <col min="7426" max="7426" width="1.28515625" customWidth="1"/>
    <col min="7427" max="7427" width="13.7109375" customWidth="1"/>
    <col min="7428" max="7428" width="11.28515625" bestFit="1" customWidth="1"/>
    <col min="7429" max="7429" width="10.7109375" customWidth="1"/>
    <col min="7430" max="7437" width="0" hidden="1" customWidth="1"/>
    <col min="7438" max="7438" width="1.28515625" customWidth="1"/>
    <col min="7439" max="7442" width="0" hidden="1" customWidth="1"/>
    <col min="7443" max="7443" width="11" customWidth="1"/>
    <col min="7444" max="7444" width="10.42578125" customWidth="1"/>
    <col min="7445" max="7445" width="11.5703125" customWidth="1"/>
    <col min="7446" max="7469" width="0" hidden="1" customWidth="1"/>
    <col min="7470" max="7470" width="1.28515625" customWidth="1"/>
    <col min="7471" max="7471" width="11.7109375" customWidth="1"/>
    <col min="7472" max="7472" width="10.85546875" customWidth="1"/>
    <col min="7473" max="7473" width="11" customWidth="1"/>
    <col min="7474" max="7474" width="1.140625" customWidth="1"/>
    <col min="7475" max="7476" width="10.85546875" customWidth="1"/>
    <col min="7477" max="7477" width="11" customWidth="1"/>
    <col min="7478" max="7478" width="1.5703125" customWidth="1"/>
    <col min="7479" max="7479" width="10.7109375" customWidth="1"/>
    <col min="7480" max="7480" width="10.140625" customWidth="1"/>
    <col min="7481" max="7481" width="10.5703125" customWidth="1"/>
    <col min="7482" max="7482" width="2.140625" customWidth="1"/>
    <col min="7483" max="7483" width="10.85546875" customWidth="1"/>
    <col min="7484" max="7484" width="10.28515625" customWidth="1"/>
    <col min="7485" max="7485" width="10.42578125" customWidth="1"/>
    <col min="7486" max="7486" width="1.85546875" customWidth="1"/>
    <col min="7487" max="7498" width="0" hidden="1" customWidth="1"/>
    <col min="7499" max="7499" width="11.7109375" customWidth="1"/>
    <col min="7500" max="7500" width="10.140625" customWidth="1"/>
    <col min="7501" max="7501" width="11.7109375" customWidth="1"/>
    <col min="7502" max="7502" width="1.140625" customWidth="1"/>
    <col min="7503" max="7504" width="10.85546875" customWidth="1"/>
    <col min="7505" max="7505" width="10.7109375" customWidth="1"/>
    <col min="7506" max="7506" width="1.140625" customWidth="1"/>
    <col min="7507" max="7507" width="10" customWidth="1"/>
    <col min="7508" max="7508" width="9.85546875" customWidth="1"/>
    <col min="7509" max="7509" width="10.42578125" customWidth="1"/>
    <col min="7510" max="7510" width="1.140625" customWidth="1"/>
    <col min="7511" max="7511" width="10" customWidth="1"/>
    <col min="7512" max="7512" width="9.85546875" customWidth="1"/>
    <col min="7513" max="7513" width="10.85546875" bestFit="1" customWidth="1"/>
    <col min="7514" max="7514" width="1.42578125" customWidth="1"/>
    <col min="7515" max="7515" width="12.140625" customWidth="1"/>
    <col min="7516" max="7516" width="10.7109375" customWidth="1"/>
    <col min="7517" max="7517" width="14.42578125" customWidth="1"/>
    <col min="7518" max="7518" width="1.7109375" customWidth="1"/>
    <col min="7519" max="7519" width="11.28515625" customWidth="1"/>
    <col min="7520" max="7520" width="11.5703125" bestFit="1" customWidth="1"/>
    <col min="7521" max="7521" width="12.42578125" customWidth="1"/>
    <col min="7522" max="7522" width="1.7109375" customWidth="1"/>
    <col min="7523" max="7523" width="13.42578125" customWidth="1"/>
    <col min="7524" max="7524" width="11.140625" customWidth="1"/>
    <col min="7525" max="7525" width="11.28515625" customWidth="1"/>
    <col min="7526" max="7526" width="1.5703125" customWidth="1"/>
    <col min="7527" max="7527" width="14.42578125" customWidth="1"/>
    <col min="7528" max="7528" width="10.85546875" customWidth="1"/>
    <col min="7529" max="7529" width="13.5703125" customWidth="1"/>
    <col min="7530" max="7530" width="1.42578125" customWidth="1"/>
    <col min="7531" max="7531" width="15.28515625" customWidth="1"/>
    <col min="7532" max="7532" width="11.5703125" customWidth="1"/>
    <col min="7533" max="7533" width="14.28515625" customWidth="1"/>
    <col min="7534" max="7534" width="1.5703125" customWidth="1"/>
    <col min="7535" max="7535" width="16" customWidth="1"/>
    <col min="7536" max="7536" width="11.28515625" customWidth="1"/>
    <col min="7537" max="7537" width="13.5703125" customWidth="1"/>
    <col min="7538" max="7538" width="1.5703125" customWidth="1"/>
    <col min="7539" max="7539" width="15.140625" customWidth="1"/>
    <col min="7540" max="7540" width="11.7109375" customWidth="1"/>
    <col min="7541" max="7541" width="13.7109375" customWidth="1"/>
    <col min="7542" max="7542" width="1.42578125" customWidth="1"/>
    <col min="7543" max="7545" width="12.28515625" bestFit="1" customWidth="1"/>
    <col min="7546" max="7546" width="1.28515625" customWidth="1"/>
    <col min="7547" max="7549" width="12.28515625" bestFit="1" customWidth="1"/>
    <col min="7550" max="7550" width="1.42578125" customWidth="1"/>
    <col min="7551" max="7551" width="11.7109375" customWidth="1"/>
    <col min="7552" max="7552" width="12.28515625" bestFit="1" customWidth="1"/>
    <col min="7553" max="7553" width="11.7109375" customWidth="1"/>
    <col min="7554" max="7554" width="1.42578125" customWidth="1"/>
    <col min="7681" max="7681" width="18.42578125" customWidth="1"/>
    <col min="7682" max="7682" width="1.28515625" customWidth="1"/>
    <col min="7683" max="7683" width="13.7109375" customWidth="1"/>
    <col min="7684" max="7684" width="11.28515625" bestFit="1" customWidth="1"/>
    <col min="7685" max="7685" width="10.7109375" customWidth="1"/>
    <col min="7686" max="7693" width="0" hidden="1" customWidth="1"/>
    <col min="7694" max="7694" width="1.28515625" customWidth="1"/>
    <col min="7695" max="7698" width="0" hidden="1" customWidth="1"/>
    <col min="7699" max="7699" width="11" customWidth="1"/>
    <col min="7700" max="7700" width="10.42578125" customWidth="1"/>
    <col min="7701" max="7701" width="11.5703125" customWidth="1"/>
    <col min="7702" max="7725" width="0" hidden="1" customWidth="1"/>
    <col min="7726" max="7726" width="1.28515625" customWidth="1"/>
    <col min="7727" max="7727" width="11.7109375" customWidth="1"/>
    <col min="7728" max="7728" width="10.85546875" customWidth="1"/>
    <col min="7729" max="7729" width="11" customWidth="1"/>
    <col min="7730" max="7730" width="1.140625" customWidth="1"/>
    <col min="7731" max="7732" width="10.85546875" customWidth="1"/>
    <col min="7733" max="7733" width="11" customWidth="1"/>
    <col min="7734" max="7734" width="1.5703125" customWidth="1"/>
    <col min="7735" max="7735" width="10.7109375" customWidth="1"/>
    <col min="7736" max="7736" width="10.140625" customWidth="1"/>
    <col min="7737" max="7737" width="10.5703125" customWidth="1"/>
    <col min="7738" max="7738" width="2.140625" customWidth="1"/>
    <col min="7739" max="7739" width="10.85546875" customWidth="1"/>
    <col min="7740" max="7740" width="10.28515625" customWidth="1"/>
    <col min="7741" max="7741" width="10.42578125" customWidth="1"/>
    <col min="7742" max="7742" width="1.85546875" customWidth="1"/>
    <col min="7743" max="7754" width="0" hidden="1" customWidth="1"/>
    <col min="7755" max="7755" width="11.7109375" customWidth="1"/>
    <col min="7756" max="7756" width="10.140625" customWidth="1"/>
    <col min="7757" max="7757" width="11.7109375" customWidth="1"/>
    <col min="7758" max="7758" width="1.140625" customWidth="1"/>
    <col min="7759" max="7760" width="10.85546875" customWidth="1"/>
    <col min="7761" max="7761" width="10.7109375" customWidth="1"/>
    <col min="7762" max="7762" width="1.140625" customWidth="1"/>
    <col min="7763" max="7763" width="10" customWidth="1"/>
    <col min="7764" max="7764" width="9.85546875" customWidth="1"/>
    <col min="7765" max="7765" width="10.42578125" customWidth="1"/>
    <col min="7766" max="7766" width="1.140625" customWidth="1"/>
    <col min="7767" max="7767" width="10" customWidth="1"/>
    <col min="7768" max="7768" width="9.85546875" customWidth="1"/>
    <col min="7769" max="7769" width="10.85546875" bestFit="1" customWidth="1"/>
    <col min="7770" max="7770" width="1.42578125" customWidth="1"/>
    <col min="7771" max="7771" width="12.140625" customWidth="1"/>
    <col min="7772" max="7772" width="10.7109375" customWidth="1"/>
    <col min="7773" max="7773" width="14.42578125" customWidth="1"/>
    <col min="7774" max="7774" width="1.7109375" customWidth="1"/>
    <col min="7775" max="7775" width="11.28515625" customWidth="1"/>
    <col min="7776" max="7776" width="11.5703125" bestFit="1" customWidth="1"/>
    <col min="7777" max="7777" width="12.42578125" customWidth="1"/>
    <col min="7778" max="7778" width="1.7109375" customWidth="1"/>
    <col min="7779" max="7779" width="13.42578125" customWidth="1"/>
    <col min="7780" max="7780" width="11.140625" customWidth="1"/>
    <col min="7781" max="7781" width="11.28515625" customWidth="1"/>
    <col min="7782" max="7782" width="1.5703125" customWidth="1"/>
    <col min="7783" max="7783" width="14.42578125" customWidth="1"/>
    <col min="7784" max="7784" width="10.85546875" customWidth="1"/>
    <col min="7785" max="7785" width="13.5703125" customWidth="1"/>
    <col min="7786" max="7786" width="1.42578125" customWidth="1"/>
    <col min="7787" max="7787" width="15.28515625" customWidth="1"/>
    <col min="7788" max="7788" width="11.5703125" customWidth="1"/>
    <col min="7789" max="7789" width="14.28515625" customWidth="1"/>
    <col min="7790" max="7790" width="1.5703125" customWidth="1"/>
    <col min="7791" max="7791" width="16" customWidth="1"/>
    <col min="7792" max="7792" width="11.28515625" customWidth="1"/>
    <col min="7793" max="7793" width="13.5703125" customWidth="1"/>
    <col min="7794" max="7794" width="1.5703125" customWidth="1"/>
    <col min="7795" max="7795" width="15.140625" customWidth="1"/>
    <col min="7796" max="7796" width="11.7109375" customWidth="1"/>
    <col min="7797" max="7797" width="13.7109375" customWidth="1"/>
    <col min="7798" max="7798" width="1.42578125" customWidth="1"/>
    <col min="7799" max="7801" width="12.28515625" bestFit="1" customWidth="1"/>
    <col min="7802" max="7802" width="1.28515625" customWidth="1"/>
    <col min="7803" max="7805" width="12.28515625" bestFit="1" customWidth="1"/>
    <col min="7806" max="7806" width="1.42578125" customWidth="1"/>
    <col min="7807" max="7807" width="11.7109375" customWidth="1"/>
    <col min="7808" max="7808" width="12.28515625" bestFit="1" customWidth="1"/>
    <col min="7809" max="7809" width="11.7109375" customWidth="1"/>
    <col min="7810" max="7810" width="1.42578125" customWidth="1"/>
    <col min="7937" max="7937" width="18.42578125" customWidth="1"/>
    <col min="7938" max="7938" width="1.28515625" customWidth="1"/>
    <col min="7939" max="7939" width="13.7109375" customWidth="1"/>
    <col min="7940" max="7940" width="11.28515625" bestFit="1" customWidth="1"/>
    <col min="7941" max="7941" width="10.7109375" customWidth="1"/>
    <col min="7942" max="7949" width="0" hidden="1" customWidth="1"/>
    <col min="7950" max="7950" width="1.28515625" customWidth="1"/>
    <col min="7951" max="7954" width="0" hidden="1" customWidth="1"/>
    <col min="7955" max="7955" width="11" customWidth="1"/>
    <col min="7956" max="7956" width="10.42578125" customWidth="1"/>
    <col min="7957" max="7957" width="11.5703125" customWidth="1"/>
    <col min="7958" max="7981" width="0" hidden="1" customWidth="1"/>
    <col min="7982" max="7982" width="1.28515625" customWidth="1"/>
    <col min="7983" max="7983" width="11.7109375" customWidth="1"/>
    <col min="7984" max="7984" width="10.85546875" customWidth="1"/>
    <col min="7985" max="7985" width="11" customWidth="1"/>
    <col min="7986" max="7986" width="1.140625" customWidth="1"/>
    <col min="7987" max="7988" width="10.85546875" customWidth="1"/>
    <col min="7989" max="7989" width="11" customWidth="1"/>
    <col min="7990" max="7990" width="1.5703125" customWidth="1"/>
    <col min="7991" max="7991" width="10.7109375" customWidth="1"/>
    <col min="7992" max="7992" width="10.140625" customWidth="1"/>
    <col min="7993" max="7993" width="10.5703125" customWidth="1"/>
    <col min="7994" max="7994" width="2.140625" customWidth="1"/>
    <col min="7995" max="7995" width="10.85546875" customWidth="1"/>
    <col min="7996" max="7996" width="10.28515625" customWidth="1"/>
    <col min="7997" max="7997" width="10.42578125" customWidth="1"/>
    <col min="7998" max="7998" width="1.85546875" customWidth="1"/>
    <col min="7999" max="8010" width="0" hidden="1" customWidth="1"/>
    <col min="8011" max="8011" width="11.7109375" customWidth="1"/>
    <col min="8012" max="8012" width="10.140625" customWidth="1"/>
    <col min="8013" max="8013" width="11.7109375" customWidth="1"/>
    <col min="8014" max="8014" width="1.140625" customWidth="1"/>
    <col min="8015" max="8016" width="10.85546875" customWidth="1"/>
    <col min="8017" max="8017" width="10.7109375" customWidth="1"/>
    <col min="8018" max="8018" width="1.140625" customWidth="1"/>
    <col min="8019" max="8019" width="10" customWidth="1"/>
    <col min="8020" max="8020" width="9.85546875" customWidth="1"/>
    <col min="8021" max="8021" width="10.42578125" customWidth="1"/>
    <col min="8022" max="8022" width="1.140625" customWidth="1"/>
    <col min="8023" max="8023" width="10" customWidth="1"/>
    <col min="8024" max="8024" width="9.85546875" customWidth="1"/>
    <col min="8025" max="8025" width="10.85546875" bestFit="1" customWidth="1"/>
    <col min="8026" max="8026" width="1.42578125" customWidth="1"/>
    <col min="8027" max="8027" width="12.140625" customWidth="1"/>
    <col min="8028" max="8028" width="10.7109375" customWidth="1"/>
    <col min="8029" max="8029" width="14.42578125" customWidth="1"/>
    <col min="8030" max="8030" width="1.7109375" customWidth="1"/>
    <col min="8031" max="8031" width="11.28515625" customWidth="1"/>
    <col min="8032" max="8032" width="11.5703125" bestFit="1" customWidth="1"/>
    <col min="8033" max="8033" width="12.42578125" customWidth="1"/>
    <col min="8034" max="8034" width="1.7109375" customWidth="1"/>
    <col min="8035" max="8035" width="13.42578125" customWidth="1"/>
    <col min="8036" max="8036" width="11.140625" customWidth="1"/>
    <col min="8037" max="8037" width="11.28515625" customWidth="1"/>
    <col min="8038" max="8038" width="1.5703125" customWidth="1"/>
    <col min="8039" max="8039" width="14.42578125" customWidth="1"/>
    <col min="8040" max="8040" width="10.85546875" customWidth="1"/>
    <col min="8041" max="8041" width="13.5703125" customWidth="1"/>
    <col min="8042" max="8042" width="1.42578125" customWidth="1"/>
    <col min="8043" max="8043" width="15.28515625" customWidth="1"/>
    <col min="8044" max="8044" width="11.5703125" customWidth="1"/>
    <col min="8045" max="8045" width="14.28515625" customWidth="1"/>
    <col min="8046" max="8046" width="1.5703125" customWidth="1"/>
    <col min="8047" max="8047" width="16" customWidth="1"/>
    <col min="8048" max="8048" width="11.28515625" customWidth="1"/>
    <col min="8049" max="8049" width="13.5703125" customWidth="1"/>
    <col min="8050" max="8050" width="1.5703125" customWidth="1"/>
    <col min="8051" max="8051" width="15.140625" customWidth="1"/>
    <col min="8052" max="8052" width="11.7109375" customWidth="1"/>
    <col min="8053" max="8053" width="13.7109375" customWidth="1"/>
    <col min="8054" max="8054" width="1.42578125" customWidth="1"/>
    <col min="8055" max="8057" width="12.28515625" bestFit="1" customWidth="1"/>
    <col min="8058" max="8058" width="1.28515625" customWidth="1"/>
    <col min="8059" max="8061" width="12.28515625" bestFit="1" customWidth="1"/>
    <col min="8062" max="8062" width="1.42578125" customWidth="1"/>
    <col min="8063" max="8063" width="11.7109375" customWidth="1"/>
    <col min="8064" max="8064" width="12.28515625" bestFit="1" customWidth="1"/>
    <col min="8065" max="8065" width="11.7109375" customWidth="1"/>
    <col min="8066" max="8066" width="1.42578125" customWidth="1"/>
    <col min="8193" max="8193" width="18.42578125" customWidth="1"/>
    <col min="8194" max="8194" width="1.28515625" customWidth="1"/>
    <col min="8195" max="8195" width="13.7109375" customWidth="1"/>
    <col min="8196" max="8196" width="11.28515625" bestFit="1" customWidth="1"/>
    <col min="8197" max="8197" width="10.7109375" customWidth="1"/>
    <col min="8198" max="8205" width="0" hidden="1" customWidth="1"/>
    <col min="8206" max="8206" width="1.28515625" customWidth="1"/>
    <col min="8207" max="8210" width="0" hidden="1" customWidth="1"/>
    <col min="8211" max="8211" width="11" customWidth="1"/>
    <col min="8212" max="8212" width="10.42578125" customWidth="1"/>
    <col min="8213" max="8213" width="11.5703125" customWidth="1"/>
    <col min="8214" max="8237" width="0" hidden="1" customWidth="1"/>
    <col min="8238" max="8238" width="1.28515625" customWidth="1"/>
    <col min="8239" max="8239" width="11.7109375" customWidth="1"/>
    <col min="8240" max="8240" width="10.85546875" customWidth="1"/>
    <col min="8241" max="8241" width="11" customWidth="1"/>
    <col min="8242" max="8242" width="1.140625" customWidth="1"/>
    <col min="8243" max="8244" width="10.85546875" customWidth="1"/>
    <col min="8245" max="8245" width="11" customWidth="1"/>
    <col min="8246" max="8246" width="1.5703125" customWidth="1"/>
    <col min="8247" max="8247" width="10.7109375" customWidth="1"/>
    <col min="8248" max="8248" width="10.140625" customWidth="1"/>
    <col min="8249" max="8249" width="10.5703125" customWidth="1"/>
    <col min="8250" max="8250" width="2.140625" customWidth="1"/>
    <col min="8251" max="8251" width="10.85546875" customWidth="1"/>
    <col min="8252" max="8252" width="10.28515625" customWidth="1"/>
    <col min="8253" max="8253" width="10.42578125" customWidth="1"/>
    <col min="8254" max="8254" width="1.85546875" customWidth="1"/>
    <col min="8255" max="8266" width="0" hidden="1" customWidth="1"/>
    <col min="8267" max="8267" width="11.7109375" customWidth="1"/>
    <col min="8268" max="8268" width="10.140625" customWidth="1"/>
    <col min="8269" max="8269" width="11.7109375" customWidth="1"/>
    <col min="8270" max="8270" width="1.140625" customWidth="1"/>
    <col min="8271" max="8272" width="10.85546875" customWidth="1"/>
    <col min="8273" max="8273" width="10.7109375" customWidth="1"/>
    <col min="8274" max="8274" width="1.140625" customWidth="1"/>
    <col min="8275" max="8275" width="10" customWidth="1"/>
    <col min="8276" max="8276" width="9.85546875" customWidth="1"/>
    <col min="8277" max="8277" width="10.42578125" customWidth="1"/>
    <col min="8278" max="8278" width="1.140625" customWidth="1"/>
    <col min="8279" max="8279" width="10" customWidth="1"/>
    <col min="8280" max="8280" width="9.85546875" customWidth="1"/>
    <col min="8281" max="8281" width="10.85546875" bestFit="1" customWidth="1"/>
    <col min="8282" max="8282" width="1.42578125" customWidth="1"/>
    <col min="8283" max="8283" width="12.140625" customWidth="1"/>
    <col min="8284" max="8284" width="10.7109375" customWidth="1"/>
    <col min="8285" max="8285" width="14.42578125" customWidth="1"/>
    <col min="8286" max="8286" width="1.7109375" customWidth="1"/>
    <col min="8287" max="8287" width="11.28515625" customWidth="1"/>
    <col min="8288" max="8288" width="11.5703125" bestFit="1" customWidth="1"/>
    <col min="8289" max="8289" width="12.42578125" customWidth="1"/>
    <col min="8290" max="8290" width="1.7109375" customWidth="1"/>
    <col min="8291" max="8291" width="13.42578125" customWidth="1"/>
    <col min="8292" max="8292" width="11.140625" customWidth="1"/>
    <col min="8293" max="8293" width="11.28515625" customWidth="1"/>
    <col min="8294" max="8294" width="1.5703125" customWidth="1"/>
    <col min="8295" max="8295" width="14.42578125" customWidth="1"/>
    <col min="8296" max="8296" width="10.85546875" customWidth="1"/>
    <col min="8297" max="8297" width="13.5703125" customWidth="1"/>
    <col min="8298" max="8298" width="1.42578125" customWidth="1"/>
    <col min="8299" max="8299" width="15.28515625" customWidth="1"/>
    <col min="8300" max="8300" width="11.5703125" customWidth="1"/>
    <col min="8301" max="8301" width="14.28515625" customWidth="1"/>
    <col min="8302" max="8302" width="1.5703125" customWidth="1"/>
    <col min="8303" max="8303" width="16" customWidth="1"/>
    <col min="8304" max="8304" width="11.28515625" customWidth="1"/>
    <col min="8305" max="8305" width="13.5703125" customWidth="1"/>
    <col min="8306" max="8306" width="1.5703125" customWidth="1"/>
    <col min="8307" max="8307" width="15.140625" customWidth="1"/>
    <col min="8308" max="8308" width="11.7109375" customWidth="1"/>
    <col min="8309" max="8309" width="13.7109375" customWidth="1"/>
    <col min="8310" max="8310" width="1.42578125" customWidth="1"/>
    <col min="8311" max="8313" width="12.28515625" bestFit="1" customWidth="1"/>
    <col min="8314" max="8314" width="1.28515625" customWidth="1"/>
    <col min="8315" max="8317" width="12.28515625" bestFit="1" customWidth="1"/>
    <col min="8318" max="8318" width="1.42578125" customWidth="1"/>
    <col min="8319" max="8319" width="11.7109375" customWidth="1"/>
    <col min="8320" max="8320" width="12.28515625" bestFit="1" customWidth="1"/>
    <col min="8321" max="8321" width="11.7109375" customWidth="1"/>
    <col min="8322" max="8322" width="1.42578125" customWidth="1"/>
    <col min="8449" max="8449" width="18.42578125" customWidth="1"/>
    <col min="8450" max="8450" width="1.28515625" customWidth="1"/>
    <col min="8451" max="8451" width="13.7109375" customWidth="1"/>
    <col min="8452" max="8452" width="11.28515625" bestFit="1" customWidth="1"/>
    <col min="8453" max="8453" width="10.7109375" customWidth="1"/>
    <col min="8454" max="8461" width="0" hidden="1" customWidth="1"/>
    <col min="8462" max="8462" width="1.28515625" customWidth="1"/>
    <col min="8463" max="8466" width="0" hidden="1" customWidth="1"/>
    <col min="8467" max="8467" width="11" customWidth="1"/>
    <col min="8468" max="8468" width="10.42578125" customWidth="1"/>
    <col min="8469" max="8469" width="11.5703125" customWidth="1"/>
    <col min="8470" max="8493" width="0" hidden="1" customWidth="1"/>
    <col min="8494" max="8494" width="1.28515625" customWidth="1"/>
    <col min="8495" max="8495" width="11.7109375" customWidth="1"/>
    <col min="8496" max="8496" width="10.85546875" customWidth="1"/>
    <col min="8497" max="8497" width="11" customWidth="1"/>
    <col min="8498" max="8498" width="1.140625" customWidth="1"/>
    <col min="8499" max="8500" width="10.85546875" customWidth="1"/>
    <col min="8501" max="8501" width="11" customWidth="1"/>
    <col min="8502" max="8502" width="1.5703125" customWidth="1"/>
    <col min="8503" max="8503" width="10.7109375" customWidth="1"/>
    <col min="8504" max="8504" width="10.140625" customWidth="1"/>
    <col min="8505" max="8505" width="10.5703125" customWidth="1"/>
    <col min="8506" max="8506" width="2.140625" customWidth="1"/>
    <col min="8507" max="8507" width="10.85546875" customWidth="1"/>
    <col min="8508" max="8508" width="10.28515625" customWidth="1"/>
    <col min="8509" max="8509" width="10.42578125" customWidth="1"/>
    <col min="8510" max="8510" width="1.85546875" customWidth="1"/>
    <col min="8511" max="8522" width="0" hidden="1" customWidth="1"/>
    <col min="8523" max="8523" width="11.7109375" customWidth="1"/>
    <col min="8524" max="8524" width="10.140625" customWidth="1"/>
    <col min="8525" max="8525" width="11.7109375" customWidth="1"/>
    <col min="8526" max="8526" width="1.140625" customWidth="1"/>
    <col min="8527" max="8528" width="10.85546875" customWidth="1"/>
    <col min="8529" max="8529" width="10.7109375" customWidth="1"/>
    <col min="8530" max="8530" width="1.140625" customWidth="1"/>
    <col min="8531" max="8531" width="10" customWidth="1"/>
    <col min="8532" max="8532" width="9.85546875" customWidth="1"/>
    <col min="8533" max="8533" width="10.42578125" customWidth="1"/>
    <col min="8534" max="8534" width="1.140625" customWidth="1"/>
    <col min="8535" max="8535" width="10" customWidth="1"/>
    <col min="8536" max="8536" width="9.85546875" customWidth="1"/>
    <col min="8537" max="8537" width="10.85546875" bestFit="1" customWidth="1"/>
    <col min="8538" max="8538" width="1.42578125" customWidth="1"/>
    <col min="8539" max="8539" width="12.140625" customWidth="1"/>
    <col min="8540" max="8540" width="10.7109375" customWidth="1"/>
    <col min="8541" max="8541" width="14.42578125" customWidth="1"/>
    <col min="8542" max="8542" width="1.7109375" customWidth="1"/>
    <col min="8543" max="8543" width="11.28515625" customWidth="1"/>
    <col min="8544" max="8544" width="11.5703125" bestFit="1" customWidth="1"/>
    <col min="8545" max="8545" width="12.42578125" customWidth="1"/>
    <col min="8546" max="8546" width="1.7109375" customWidth="1"/>
    <col min="8547" max="8547" width="13.42578125" customWidth="1"/>
    <col min="8548" max="8548" width="11.140625" customWidth="1"/>
    <col min="8549" max="8549" width="11.28515625" customWidth="1"/>
    <col min="8550" max="8550" width="1.5703125" customWidth="1"/>
    <col min="8551" max="8551" width="14.42578125" customWidth="1"/>
    <col min="8552" max="8552" width="10.85546875" customWidth="1"/>
    <col min="8553" max="8553" width="13.5703125" customWidth="1"/>
    <col min="8554" max="8554" width="1.42578125" customWidth="1"/>
    <col min="8555" max="8555" width="15.28515625" customWidth="1"/>
    <col min="8556" max="8556" width="11.5703125" customWidth="1"/>
    <col min="8557" max="8557" width="14.28515625" customWidth="1"/>
    <col min="8558" max="8558" width="1.5703125" customWidth="1"/>
    <col min="8559" max="8559" width="16" customWidth="1"/>
    <col min="8560" max="8560" width="11.28515625" customWidth="1"/>
    <col min="8561" max="8561" width="13.5703125" customWidth="1"/>
    <col min="8562" max="8562" width="1.5703125" customWidth="1"/>
    <col min="8563" max="8563" width="15.140625" customWidth="1"/>
    <col min="8564" max="8564" width="11.7109375" customWidth="1"/>
    <col min="8565" max="8565" width="13.7109375" customWidth="1"/>
    <col min="8566" max="8566" width="1.42578125" customWidth="1"/>
    <col min="8567" max="8569" width="12.28515625" bestFit="1" customWidth="1"/>
    <col min="8570" max="8570" width="1.28515625" customWidth="1"/>
    <col min="8571" max="8573" width="12.28515625" bestFit="1" customWidth="1"/>
    <col min="8574" max="8574" width="1.42578125" customWidth="1"/>
    <col min="8575" max="8575" width="11.7109375" customWidth="1"/>
    <col min="8576" max="8576" width="12.28515625" bestFit="1" customWidth="1"/>
    <col min="8577" max="8577" width="11.7109375" customWidth="1"/>
    <col min="8578" max="8578" width="1.42578125" customWidth="1"/>
    <col min="8705" max="8705" width="18.42578125" customWidth="1"/>
    <col min="8706" max="8706" width="1.28515625" customWidth="1"/>
    <col min="8707" max="8707" width="13.7109375" customWidth="1"/>
    <col min="8708" max="8708" width="11.28515625" bestFit="1" customWidth="1"/>
    <col min="8709" max="8709" width="10.7109375" customWidth="1"/>
    <col min="8710" max="8717" width="0" hidden="1" customWidth="1"/>
    <col min="8718" max="8718" width="1.28515625" customWidth="1"/>
    <col min="8719" max="8722" width="0" hidden="1" customWidth="1"/>
    <col min="8723" max="8723" width="11" customWidth="1"/>
    <col min="8724" max="8724" width="10.42578125" customWidth="1"/>
    <col min="8725" max="8725" width="11.5703125" customWidth="1"/>
    <col min="8726" max="8749" width="0" hidden="1" customWidth="1"/>
    <col min="8750" max="8750" width="1.28515625" customWidth="1"/>
    <col min="8751" max="8751" width="11.7109375" customWidth="1"/>
    <col min="8752" max="8752" width="10.85546875" customWidth="1"/>
    <col min="8753" max="8753" width="11" customWidth="1"/>
    <col min="8754" max="8754" width="1.140625" customWidth="1"/>
    <col min="8755" max="8756" width="10.85546875" customWidth="1"/>
    <col min="8757" max="8757" width="11" customWidth="1"/>
    <col min="8758" max="8758" width="1.5703125" customWidth="1"/>
    <col min="8759" max="8759" width="10.7109375" customWidth="1"/>
    <col min="8760" max="8760" width="10.140625" customWidth="1"/>
    <col min="8761" max="8761" width="10.5703125" customWidth="1"/>
    <col min="8762" max="8762" width="2.140625" customWidth="1"/>
    <col min="8763" max="8763" width="10.85546875" customWidth="1"/>
    <col min="8764" max="8764" width="10.28515625" customWidth="1"/>
    <col min="8765" max="8765" width="10.42578125" customWidth="1"/>
    <col min="8766" max="8766" width="1.85546875" customWidth="1"/>
    <col min="8767" max="8778" width="0" hidden="1" customWidth="1"/>
    <col min="8779" max="8779" width="11.7109375" customWidth="1"/>
    <col min="8780" max="8780" width="10.140625" customWidth="1"/>
    <col min="8781" max="8781" width="11.7109375" customWidth="1"/>
    <col min="8782" max="8782" width="1.140625" customWidth="1"/>
    <col min="8783" max="8784" width="10.85546875" customWidth="1"/>
    <col min="8785" max="8785" width="10.7109375" customWidth="1"/>
    <col min="8786" max="8786" width="1.140625" customWidth="1"/>
    <col min="8787" max="8787" width="10" customWidth="1"/>
    <col min="8788" max="8788" width="9.85546875" customWidth="1"/>
    <col min="8789" max="8789" width="10.42578125" customWidth="1"/>
    <col min="8790" max="8790" width="1.140625" customWidth="1"/>
    <col min="8791" max="8791" width="10" customWidth="1"/>
    <col min="8792" max="8792" width="9.85546875" customWidth="1"/>
    <col min="8793" max="8793" width="10.85546875" bestFit="1" customWidth="1"/>
    <col min="8794" max="8794" width="1.42578125" customWidth="1"/>
    <col min="8795" max="8795" width="12.140625" customWidth="1"/>
    <col min="8796" max="8796" width="10.7109375" customWidth="1"/>
    <col min="8797" max="8797" width="14.42578125" customWidth="1"/>
    <col min="8798" max="8798" width="1.7109375" customWidth="1"/>
    <col min="8799" max="8799" width="11.28515625" customWidth="1"/>
    <col min="8800" max="8800" width="11.5703125" bestFit="1" customWidth="1"/>
    <col min="8801" max="8801" width="12.42578125" customWidth="1"/>
    <col min="8802" max="8802" width="1.7109375" customWidth="1"/>
    <col min="8803" max="8803" width="13.42578125" customWidth="1"/>
    <col min="8804" max="8804" width="11.140625" customWidth="1"/>
    <col min="8805" max="8805" width="11.28515625" customWidth="1"/>
    <col min="8806" max="8806" width="1.5703125" customWidth="1"/>
    <col min="8807" max="8807" width="14.42578125" customWidth="1"/>
    <col min="8808" max="8808" width="10.85546875" customWidth="1"/>
    <col min="8809" max="8809" width="13.5703125" customWidth="1"/>
    <col min="8810" max="8810" width="1.42578125" customWidth="1"/>
    <col min="8811" max="8811" width="15.28515625" customWidth="1"/>
    <col min="8812" max="8812" width="11.5703125" customWidth="1"/>
    <col min="8813" max="8813" width="14.28515625" customWidth="1"/>
    <col min="8814" max="8814" width="1.5703125" customWidth="1"/>
    <col min="8815" max="8815" width="16" customWidth="1"/>
    <col min="8816" max="8816" width="11.28515625" customWidth="1"/>
    <col min="8817" max="8817" width="13.5703125" customWidth="1"/>
    <col min="8818" max="8818" width="1.5703125" customWidth="1"/>
    <col min="8819" max="8819" width="15.140625" customWidth="1"/>
    <col min="8820" max="8820" width="11.7109375" customWidth="1"/>
    <col min="8821" max="8821" width="13.7109375" customWidth="1"/>
    <col min="8822" max="8822" width="1.42578125" customWidth="1"/>
    <col min="8823" max="8825" width="12.28515625" bestFit="1" customWidth="1"/>
    <col min="8826" max="8826" width="1.28515625" customWidth="1"/>
    <col min="8827" max="8829" width="12.28515625" bestFit="1" customWidth="1"/>
    <col min="8830" max="8830" width="1.42578125" customWidth="1"/>
    <col min="8831" max="8831" width="11.7109375" customWidth="1"/>
    <col min="8832" max="8832" width="12.28515625" bestFit="1" customWidth="1"/>
    <col min="8833" max="8833" width="11.7109375" customWidth="1"/>
    <col min="8834" max="8834" width="1.42578125" customWidth="1"/>
    <col min="8961" max="8961" width="18.42578125" customWidth="1"/>
    <col min="8962" max="8962" width="1.28515625" customWidth="1"/>
    <col min="8963" max="8963" width="13.7109375" customWidth="1"/>
    <col min="8964" max="8964" width="11.28515625" bestFit="1" customWidth="1"/>
    <col min="8965" max="8965" width="10.7109375" customWidth="1"/>
    <col min="8966" max="8973" width="0" hidden="1" customWidth="1"/>
    <col min="8974" max="8974" width="1.28515625" customWidth="1"/>
    <col min="8975" max="8978" width="0" hidden="1" customWidth="1"/>
    <col min="8979" max="8979" width="11" customWidth="1"/>
    <col min="8980" max="8980" width="10.42578125" customWidth="1"/>
    <col min="8981" max="8981" width="11.5703125" customWidth="1"/>
    <col min="8982" max="9005" width="0" hidden="1" customWidth="1"/>
    <col min="9006" max="9006" width="1.28515625" customWidth="1"/>
    <col min="9007" max="9007" width="11.7109375" customWidth="1"/>
    <col min="9008" max="9008" width="10.85546875" customWidth="1"/>
    <col min="9009" max="9009" width="11" customWidth="1"/>
    <col min="9010" max="9010" width="1.140625" customWidth="1"/>
    <col min="9011" max="9012" width="10.85546875" customWidth="1"/>
    <col min="9013" max="9013" width="11" customWidth="1"/>
    <col min="9014" max="9014" width="1.5703125" customWidth="1"/>
    <col min="9015" max="9015" width="10.7109375" customWidth="1"/>
    <col min="9016" max="9016" width="10.140625" customWidth="1"/>
    <col min="9017" max="9017" width="10.5703125" customWidth="1"/>
    <col min="9018" max="9018" width="2.140625" customWidth="1"/>
    <col min="9019" max="9019" width="10.85546875" customWidth="1"/>
    <col min="9020" max="9020" width="10.28515625" customWidth="1"/>
    <col min="9021" max="9021" width="10.42578125" customWidth="1"/>
    <col min="9022" max="9022" width="1.85546875" customWidth="1"/>
    <col min="9023" max="9034" width="0" hidden="1" customWidth="1"/>
    <col min="9035" max="9035" width="11.7109375" customWidth="1"/>
    <col min="9036" max="9036" width="10.140625" customWidth="1"/>
    <col min="9037" max="9037" width="11.7109375" customWidth="1"/>
    <col min="9038" max="9038" width="1.140625" customWidth="1"/>
    <col min="9039" max="9040" width="10.85546875" customWidth="1"/>
    <col min="9041" max="9041" width="10.7109375" customWidth="1"/>
    <col min="9042" max="9042" width="1.140625" customWidth="1"/>
    <col min="9043" max="9043" width="10" customWidth="1"/>
    <col min="9044" max="9044" width="9.85546875" customWidth="1"/>
    <col min="9045" max="9045" width="10.42578125" customWidth="1"/>
    <col min="9046" max="9046" width="1.140625" customWidth="1"/>
    <col min="9047" max="9047" width="10" customWidth="1"/>
    <col min="9048" max="9048" width="9.85546875" customWidth="1"/>
    <col min="9049" max="9049" width="10.85546875" bestFit="1" customWidth="1"/>
    <col min="9050" max="9050" width="1.42578125" customWidth="1"/>
    <col min="9051" max="9051" width="12.140625" customWidth="1"/>
    <col min="9052" max="9052" width="10.7109375" customWidth="1"/>
    <col min="9053" max="9053" width="14.42578125" customWidth="1"/>
    <col min="9054" max="9054" width="1.7109375" customWidth="1"/>
    <col min="9055" max="9055" width="11.28515625" customWidth="1"/>
    <col min="9056" max="9056" width="11.5703125" bestFit="1" customWidth="1"/>
    <col min="9057" max="9057" width="12.42578125" customWidth="1"/>
    <col min="9058" max="9058" width="1.7109375" customWidth="1"/>
    <col min="9059" max="9059" width="13.42578125" customWidth="1"/>
    <col min="9060" max="9060" width="11.140625" customWidth="1"/>
    <col min="9061" max="9061" width="11.28515625" customWidth="1"/>
    <col min="9062" max="9062" width="1.5703125" customWidth="1"/>
    <col min="9063" max="9063" width="14.42578125" customWidth="1"/>
    <col min="9064" max="9064" width="10.85546875" customWidth="1"/>
    <col min="9065" max="9065" width="13.5703125" customWidth="1"/>
    <col min="9066" max="9066" width="1.42578125" customWidth="1"/>
    <col min="9067" max="9067" width="15.28515625" customWidth="1"/>
    <col min="9068" max="9068" width="11.5703125" customWidth="1"/>
    <col min="9069" max="9069" width="14.28515625" customWidth="1"/>
    <col min="9070" max="9070" width="1.5703125" customWidth="1"/>
    <col min="9071" max="9071" width="16" customWidth="1"/>
    <col min="9072" max="9072" width="11.28515625" customWidth="1"/>
    <col min="9073" max="9073" width="13.5703125" customWidth="1"/>
    <col min="9074" max="9074" width="1.5703125" customWidth="1"/>
    <col min="9075" max="9075" width="15.140625" customWidth="1"/>
    <col min="9076" max="9076" width="11.7109375" customWidth="1"/>
    <col min="9077" max="9077" width="13.7109375" customWidth="1"/>
    <col min="9078" max="9078" width="1.42578125" customWidth="1"/>
    <col min="9079" max="9081" width="12.28515625" bestFit="1" customWidth="1"/>
    <col min="9082" max="9082" width="1.28515625" customWidth="1"/>
    <col min="9083" max="9085" width="12.28515625" bestFit="1" customWidth="1"/>
    <col min="9086" max="9086" width="1.42578125" customWidth="1"/>
    <col min="9087" max="9087" width="11.7109375" customWidth="1"/>
    <col min="9088" max="9088" width="12.28515625" bestFit="1" customWidth="1"/>
    <col min="9089" max="9089" width="11.7109375" customWidth="1"/>
    <col min="9090" max="9090" width="1.42578125" customWidth="1"/>
    <col min="9217" max="9217" width="18.42578125" customWidth="1"/>
    <col min="9218" max="9218" width="1.28515625" customWidth="1"/>
    <col min="9219" max="9219" width="13.7109375" customWidth="1"/>
    <col min="9220" max="9220" width="11.28515625" bestFit="1" customWidth="1"/>
    <col min="9221" max="9221" width="10.7109375" customWidth="1"/>
    <col min="9222" max="9229" width="0" hidden="1" customWidth="1"/>
    <col min="9230" max="9230" width="1.28515625" customWidth="1"/>
    <col min="9231" max="9234" width="0" hidden="1" customWidth="1"/>
    <col min="9235" max="9235" width="11" customWidth="1"/>
    <col min="9236" max="9236" width="10.42578125" customWidth="1"/>
    <col min="9237" max="9237" width="11.5703125" customWidth="1"/>
    <col min="9238" max="9261" width="0" hidden="1" customWidth="1"/>
    <col min="9262" max="9262" width="1.28515625" customWidth="1"/>
    <col min="9263" max="9263" width="11.7109375" customWidth="1"/>
    <col min="9264" max="9264" width="10.85546875" customWidth="1"/>
    <col min="9265" max="9265" width="11" customWidth="1"/>
    <col min="9266" max="9266" width="1.140625" customWidth="1"/>
    <col min="9267" max="9268" width="10.85546875" customWidth="1"/>
    <col min="9269" max="9269" width="11" customWidth="1"/>
    <col min="9270" max="9270" width="1.5703125" customWidth="1"/>
    <col min="9271" max="9271" width="10.7109375" customWidth="1"/>
    <col min="9272" max="9272" width="10.140625" customWidth="1"/>
    <col min="9273" max="9273" width="10.5703125" customWidth="1"/>
    <col min="9274" max="9274" width="2.140625" customWidth="1"/>
    <col min="9275" max="9275" width="10.85546875" customWidth="1"/>
    <col min="9276" max="9276" width="10.28515625" customWidth="1"/>
    <col min="9277" max="9277" width="10.42578125" customWidth="1"/>
    <col min="9278" max="9278" width="1.85546875" customWidth="1"/>
    <col min="9279" max="9290" width="0" hidden="1" customWidth="1"/>
    <col min="9291" max="9291" width="11.7109375" customWidth="1"/>
    <col min="9292" max="9292" width="10.140625" customWidth="1"/>
    <col min="9293" max="9293" width="11.7109375" customWidth="1"/>
    <col min="9294" max="9294" width="1.140625" customWidth="1"/>
    <col min="9295" max="9296" width="10.85546875" customWidth="1"/>
    <col min="9297" max="9297" width="10.7109375" customWidth="1"/>
    <col min="9298" max="9298" width="1.140625" customWidth="1"/>
    <col min="9299" max="9299" width="10" customWidth="1"/>
    <col min="9300" max="9300" width="9.85546875" customWidth="1"/>
    <col min="9301" max="9301" width="10.42578125" customWidth="1"/>
    <col min="9302" max="9302" width="1.140625" customWidth="1"/>
    <col min="9303" max="9303" width="10" customWidth="1"/>
    <col min="9304" max="9304" width="9.85546875" customWidth="1"/>
    <col min="9305" max="9305" width="10.85546875" bestFit="1" customWidth="1"/>
    <col min="9306" max="9306" width="1.42578125" customWidth="1"/>
    <col min="9307" max="9307" width="12.140625" customWidth="1"/>
    <col min="9308" max="9308" width="10.7109375" customWidth="1"/>
    <col min="9309" max="9309" width="14.42578125" customWidth="1"/>
    <col min="9310" max="9310" width="1.7109375" customWidth="1"/>
    <col min="9311" max="9311" width="11.28515625" customWidth="1"/>
    <col min="9312" max="9312" width="11.5703125" bestFit="1" customWidth="1"/>
    <col min="9313" max="9313" width="12.42578125" customWidth="1"/>
    <col min="9314" max="9314" width="1.7109375" customWidth="1"/>
    <col min="9315" max="9315" width="13.42578125" customWidth="1"/>
    <col min="9316" max="9316" width="11.140625" customWidth="1"/>
    <col min="9317" max="9317" width="11.28515625" customWidth="1"/>
    <col min="9318" max="9318" width="1.5703125" customWidth="1"/>
    <col min="9319" max="9319" width="14.42578125" customWidth="1"/>
    <col min="9320" max="9320" width="10.85546875" customWidth="1"/>
    <col min="9321" max="9321" width="13.5703125" customWidth="1"/>
    <col min="9322" max="9322" width="1.42578125" customWidth="1"/>
    <col min="9323" max="9323" width="15.28515625" customWidth="1"/>
    <col min="9324" max="9324" width="11.5703125" customWidth="1"/>
    <col min="9325" max="9325" width="14.28515625" customWidth="1"/>
    <col min="9326" max="9326" width="1.5703125" customWidth="1"/>
    <col min="9327" max="9327" width="16" customWidth="1"/>
    <col min="9328" max="9328" width="11.28515625" customWidth="1"/>
    <col min="9329" max="9329" width="13.5703125" customWidth="1"/>
    <col min="9330" max="9330" width="1.5703125" customWidth="1"/>
    <col min="9331" max="9331" width="15.140625" customWidth="1"/>
    <col min="9332" max="9332" width="11.7109375" customWidth="1"/>
    <col min="9333" max="9333" width="13.7109375" customWidth="1"/>
    <col min="9334" max="9334" width="1.42578125" customWidth="1"/>
    <col min="9335" max="9337" width="12.28515625" bestFit="1" customWidth="1"/>
    <col min="9338" max="9338" width="1.28515625" customWidth="1"/>
    <col min="9339" max="9341" width="12.28515625" bestFit="1" customWidth="1"/>
    <col min="9342" max="9342" width="1.42578125" customWidth="1"/>
    <col min="9343" max="9343" width="11.7109375" customWidth="1"/>
    <col min="9344" max="9344" width="12.28515625" bestFit="1" customWidth="1"/>
    <col min="9345" max="9345" width="11.7109375" customWidth="1"/>
    <col min="9346" max="9346" width="1.42578125" customWidth="1"/>
    <col min="9473" max="9473" width="18.42578125" customWidth="1"/>
    <col min="9474" max="9474" width="1.28515625" customWidth="1"/>
    <col min="9475" max="9475" width="13.7109375" customWidth="1"/>
    <col min="9476" max="9476" width="11.28515625" bestFit="1" customWidth="1"/>
    <col min="9477" max="9477" width="10.7109375" customWidth="1"/>
    <col min="9478" max="9485" width="0" hidden="1" customWidth="1"/>
    <col min="9486" max="9486" width="1.28515625" customWidth="1"/>
    <col min="9487" max="9490" width="0" hidden="1" customWidth="1"/>
    <col min="9491" max="9491" width="11" customWidth="1"/>
    <col min="9492" max="9492" width="10.42578125" customWidth="1"/>
    <col min="9493" max="9493" width="11.5703125" customWidth="1"/>
    <col min="9494" max="9517" width="0" hidden="1" customWidth="1"/>
    <col min="9518" max="9518" width="1.28515625" customWidth="1"/>
    <col min="9519" max="9519" width="11.7109375" customWidth="1"/>
    <col min="9520" max="9520" width="10.85546875" customWidth="1"/>
    <col min="9521" max="9521" width="11" customWidth="1"/>
    <col min="9522" max="9522" width="1.140625" customWidth="1"/>
    <col min="9523" max="9524" width="10.85546875" customWidth="1"/>
    <col min="9525" max="9525" width="11" customWidth="1"/>
    <col min="9526" max="9526" width="1.5703125" customWidth="1"/>
    <col min="9527" max="9527" width="10.7109375" customWidth="1"/>
    <col min="9528" max="9528" width="10.140625" customWidth="1"/>
    <col min="9529" max="9529" width="10.5703125" customWidth="1"/>
    <col min="9530" max="9530" width="2.140625" customWidth="1"/>
    <col min="9531" max="9531" width="10.85546875" customWidth="1"/>
    <col min="9532" max="9532" width="10.28515625" customWidth="1"/>
    <col min="9533" max="9533" width="10.42578125" customWidth="1"/>
    <col min="9534" max="9534" width="1.85546875" customWidth="1"/>
    <col min="9535" max="9546" width="0" hidden="1" customWidth="1"/>
    <col min="9547" max="9547" width="11.7109375" customWidth="1"/>
    <col min="9548" max="9548" width="10.140625" customWidth="1"/>
    <col min="9549" max="9549" width="11.7109375" customWidth="1"/>
    <col min="9550" max="9550" width="1.140625" customWidth="1"/>
    <col min="9551" max="9552" width="10.85546875" customWidth="1"/>
    <col min="9553" max="9553" width="10.7109375" customWidth="1"/>
    <col min="9554" max="9554" width="1.140625" customWidth="1"/>
    <col min="9555" max="9555" width="10" customWidth="1"/>
    <col min="9556" max="9556" width="9.85546875" customWidth="1"/>
    <col min="9557" max="9557" width="10.42578125" customWidth="1"/>
    <col min="9558" max="9558" width="1.140625" customWidth="1"/>
    <col min="9559" max="9559" width="10" customWidth="1"/>
    <col min="9560" max="9560" width="9.85546875" customWidth="1"/>
    <col min="9561" max="9561" width="10.85546875" bestFit="1" customWidth="1"/>
    <col min="9562" max="9562" width="1.42578125" customWidth="1"/>
    <col min="9563" max="9563" width="12.140625" customWidth="1"/>
    <col min="9564" max="9564" width="10.7109375" customWidth="1"/>
    <col min="9565" max="9565" width="14.42578125" customWidth="1"/>
    <col min="9566" max="9566" width="1.7109375" customWidth="1"/>
    <col min="9567" max="9567" width="11.28515625" customWidth="1"/>
    <col min="9568" max="9568" width="11.5703125" bestFit="1" customWidth="1"/>
    <col min="9569" max="9569" width="12.42578125" customWidth="1"/>
    <col min="9570" max="9570" width="1.7109375" customWidth="1"/>
    <col min="9571" max="9571" width="13.42578125" customWidth="1"/>
    <col min="9572" max="9572" width="11.140625" customWidth="1"/>
    <col min="9573" max="9573" width="11.28515625" customWidth="1"/>
    <col min="9574" max="9574" width="1.5703125" customWidth="1"/>
    <col min="9575" max="9575" width="14.42578125" customWidth="1"/>
    <col min="9576" max="9576" width="10.85546875" customWidth="1"/>
    <col min="9577" max="9577" width="13.5703125" customWidth="1"/>
    <col min="9578" max="9578" width="1.42578125" customWidth="1"/>
    <col min="9579" max="9579" width="15.28515625" customWidth="1"/>
    <col min="9580" max="9580" width="11.5703125" customWidth="1"/>
    <col min="9581" max="9581" width="14.28515625" customWidth="1"/>
    <col min="9582" max="9582" width="1.5703125" customWidth="1"/>
    <col min="9583" max="9583" width="16" customWidth="1"/>
    <col min="9584" max="9584" width="11.28515625" customWidth="1"/>
    <col min="9585" max="9585" width="13.5703125" customWidth="1"/>
    <col min="9586" max="9586" width="1.5703125" customWidth="1"/>
    <col min="9587" max="9587" width="15.140625" customWidth="1"/>
    <col min="9588" max="9588" width="11.7109375" customWidth="1"/>
    <col min="9589" max="9589" width="13.7109375" customWidth="1"/>
    <col min="9590" max="9590" width="1.42578125" customWidth="1"/>
    <col min="9591" max="9593" width="12.28515625" bestFit="1" customWidth="1"/>
    <col min="9594" max="9594" width="1.28515625" customWidth="1"/>
    <col min="9595" max="9597" width="12.28515625" bestFit="1" customWidth="1"/>
    <col min="9598" max="9598" width="1.42578125" customWidth="1"/>
    <col min="9599" max="9599" width="11.7109375" customWidth="1"/>
    <col min="9600" max="9600" width="12.28515625" bestFit="1" customWidth="1"/>
    <col min="9601" max="9601" width="11.7109375" customWidth="1"/>
    <col min="9602" max="9602" width="1.42578125" customWidth="1"/>
    <col min="9729" max="9729" width="18.42578125" customWidth="1"/>
    <col min="9730" max="9730" width="1.28515625" customWidth="1"/>
    <col min="9731" max="9731" width="13.7109375" customWidth="1"/>
    <col min="9732" max="9732" width="11.28515625" bestFit="1" customWidth="1"/>
    <col min="9733" max="9733" width="10.7109375" customWidth="1"/>
    <col min="9734" max="9741" width="0" hidden="1" customWidth="1"/>
    <col min="9742" max="9742" width="1.28515625" customWidth="1"/>
    <col min="9743" max="9746" width="0" hidden="1" customWidth="1"/>
    <col min="9747" max="9747" width="11" customWidth="1"/>
    <col min="9748" max="9748" width="10.42578125" customWidth="1"/>
    <col min="9749" max="9749" width="11.5703125" customWidth="1"/>
    <col min="9750" max="9773" width="0" hidden="1" customWidth="1"/>
    <col min="9774" max="9774" width="1.28515625" customWidth="1"/>
    <col min="9775" max="9775" width="11.7109375" customWidth="1"/>
    <col min="9776" max="9776" width="10.85546875" customWidth="1"/>
    <col min="9777" max="9777" width="11" customWidth="1"/>
    <col min="9778" max="9778" width="1.140625" customWidth="1"/>
    <col min="9779" max="9780" width="10.85546875" customWidth="1"/>
    <col min="9781" max="9781" width="11" customWidth="1"/>
    <col min="9782" max="9782" width="1.5703125" customWidth="1"/>
    <col min="9783" max="9783" width="10.7109375" customWidth="1"/>
    <col min="9784" max="9784" width="10.140625" customWidth="1"/>
    <col min="9785" max="9785" width="10.5703125" customWidth="1"/>
    <col min="9786" max="9786" width="2.140625" customWidth="1"/>
    <col min="9787" max="9787" width="10.85546875" customWidth="1"/>
    <col min="9788" max="9788" width="10.28515625" customWidth="1"/>
    <col min="9789" max="9789" width="10.42578125" customWidth="1"/>
    <col min="9790" max="9790" width="1.85546875" customWidth="1"/>
    <col min="9791" max="9802" width="0" hidden="1" customWidth="1"/>
    <col min="9803" max="9803" width="11.7109375" customWidth="1"/>
    <col min="9804" max="9804" width="10.140625" customWidth="1"/>
    <col min="9805" max="9805" width="11.7109375" customWidth="1"/>
    <col min="9806" max="9806" width="1.140625" customWidth="1"/>
    <col min="9807" max="9808" width="10.85546875" customWidth="1"/>
    <col min="9809" max="9809" width="10.7109375" customWidth="1"/>
    <col min="9810" max="9810" width="1.140625" customWidth="1"/>
    <col min="9811" max="9811" width="10" customWidth="1"/>
    <col min="9812" max="9812" width="9.85546875" customWidth="1"/>
    <col min="9813" max="9813" width="10.42578125" customWidth="1"/>
    <col min="9814" max="9814" width="1.140625" customWidth="1"/>
    <col min="9815" max="9815" width="10" customWidth="1"/>
    <col min="9816" max="9816" width="9.85546875" customWidth="1"/>
    <col min="9817" max="9817" width="10.85546875" bestFit="1" customWidth="1"/>
    <col min="9818" max="9818" width="1.42578125" customWidth="1"/>
    <col min="9819" max="9819" width="12.140625" customWidth="1"/>
    <col min="9820" max="9820" width="10.7109375" customWidth="1"/>
    <col min="9821" max="9821" width="14.42578125" customWidth="1"/>
    <col min="9822" max="9822" width="1.7109375" customWidth="1"/>
    <col min="9823" max="9823" width="11.28515625" customWidth="1"/>
    <col min="9824" max="9824" width="11.5703125" bestFit="1" customWidth="1"/>
    <col min="9825" max="9825" width="12.42578125" customWidth="1"/>
    <col min="9826" max="9826" width="1.7109375" customWidth="1"/>
    <col min="9827" max="9827" width="13.42578125" customWidth="1"/>
    <col min="9828" max="9828" width="11.140625" customWidth="1"/>
    <col min="9829" max="9829" width="11.28515625" customWidth="1"/>
    <col min="9830" max="9830" width="1.5703125" customWidth="1"/>
    <col min="9831" max="9831" width="14.42578125" customWidth="1"/>
    <col min="9832" max="9832" width="10.85546875" customWidth="1"/>
    <col min="9833" max="9833" width="13.5703125" customWidth="1"/>
    <col min="9834" max="9834" width="1.42578125" customWidth="1"/>
    <col min="9835" max="9835" width="15.28515625" customWidth="1"/>
    <col min="9836" max="9836" width="11.5703125" customWidth="1"/>
    <col min="9837" max="9837" width="14.28515625" customWidth="1"/>
    <col min="9838" max="9838" width="1.5703125" customWidth="1"/>
    <col min="9839" max="9839" width="16" customWidth="1"/>
    <col min="9840" max="9840" width="11.28515625" customWidth="1"/>
    <col min="9841" max="9841" width="13.5703125" customWidth="1"/>
    <col min="9842" max="9842" width="1.5703125" customWidth="1"/>
    <col min="9843" max="9843" width="15.140625" customWidth="1"/>
    <col min="9844" max="9844" width="11.7109375" customWidth="1"/>
    <col min="9845" max="9845" width="13.7109375" customWidth="1"/>
    <col min="9846" max="9846" width="1.42578125" customWidth="1"/>
    <col min="9847" max="9849" width="12.28515625" bestFit="1" customWidth="1"/>
    <col min="9850" max="9850" width="1.28515625" customWidth="1"/>
    <col min="9851" max="9853" width="12.28515625" bestFit="1" customWidth="1"/>
    <col min="9854" max="9854" width="1.42578125" customWidth="1"/>
    <col min="9855" max="9855" width="11.7109375" customWidth="1"/>
    <col min="9856" max="9856" width="12.28515625" bestFit="1" customWidth="1"/>
    <col min="9857" max="9857" width="11.7109375" customWidth="1"/>
    <col min="9858" max="9858" width="1.42578125" customWidth="1"/>
    <col min="9985" max="9985" width="18.42578125" customWidth="1"/>
    <col min="9986" max="9986" width="1.28515625" customWidth="1"/>
    <col min="9987" max="9987" width="13.7109375" customWidth="1"/>
    <col min="9988" max="9988" width="11.28515625" bestFit="1" customWidth="1"/>
    <col min="9989" max="9989" width="10.7109375" customWidth="1"/>
    <col min="9990" max="9997" width="0" hidden="1" customWidth="1"/>
    <col min="9998" max="9998" width="1.28515625" customWidth="1"/>
    <col min="9999" max="10002" width="0" hidden="1" customWidth="1"/>
    <col min="10003" max="10003" width="11" customWidth="1"/>
    <col min="10004" max="10004" width="10.42578125" customWidth="1"/>
    <col min="10005" max="10005" width="11.5703125" customWidth="1"/>
    <col min="10006" max="10029" width="0" hidden="1" customWidth="1"/>
    <col min="10030" max="10030" width="1.28515625" customWidth="1"/>
    <col min="10031" max="10031" width="11.7109375" customWidth="1"/>
    <col min="10032" max="10032" width="10.85546875" customWidth="1"/>
    <col min="10033" max="10033" width="11" customWidth="1"/>
    <col min="10034" max="10034" width="1.140625" customWidth="1"/>
    <col min="10035" max="10036" width="10.85546875" customWidth="1"/>
    <col min="10037" max="10037" width="11" customWidth="1"/>
    <col min="10038" max="10038" width="1.5703125" customWidth="1"/>
    <col min="10039" max="10039" width="10.7109375" customWidth="1"/>
    <col min="10040" max="10040" width="10.140625" customWidth="1"/>
    <col min="10041" max="10041" width="10.5703125" customWidth="1"/>
    <col min="10042" max="10042" width="2.140625" customWidth="1"/>
    <col min="10043" max="10043" width="10.85546875" customWidth="1"/>
    <col min="10044" max="10044" width="10.28515625" customWidth="1"/>
    <col min="10045" max="10045" width="10.42578125" customWidth="1"/>
    <col min="10046" max="10046" width="1.85546875" customWidth="1"/>
    <col min="10047" max="10058" width="0" hidden="1" customWidth="1"/>
    <col min="10059" max="10059" width="11.7109375" customWidth="1"/>
    <col min="10060" max="10060" width="10.140625" customWidth="1"/>
    <col min="10061" max="10061" width="11.7109375" customWidth="1"/>
    <col min="10062" max="10062" width="1.140625" customWidth="1"/>
    <col min="10063" max="10064" width="10.85546875" customWidth="1"/>
    <col min="10065" max="10065" width="10.7109375" customWidth="1"/>
    <col min="10066" max="10066" width="1.140625" customWidth="1"/>
    <col min="10067" max="10067" width="10" customWidth="1"/>
    <col min="10068" max="10068" width="9.85546875" customWidth="1"/>
    <col min="10069" max="10069" width="10.42578125" customWidth="1"/>
    <col min="10070" max="10070" width="1.140625" customWidth="1"/>
    <col min="10071" max="10071" width="10" customWidth="1"/>
    <col min="10072" max="10072" width="9.85546875" customWidth="1"/>
    <col min="10073" max="10073" width="10.85546875" bestFit="1" customWidth="1"/>
    <col min="10074" max="10074" width="1.42578125" customWidth="1"/>
    <col min="10075" max="10075" width="12.140625" customWidth="1"/>
    <col min="10076" max="10076" width="10.7109375" customWidth="1"/>
    <col min="10077" max="10077" width="14.42578125" customWidth="1"/>
    <col min="10078" max="10078" width="1.7109375" customWidth="1"/>
    <col min="10079" max="10079" width="11.28515625" customWidth="1"/>
    <col min="10080" max="10080" width="11.5703125" bestFit="1" customWidth="1"/>
    <col min="10081" max="10081" width="12.42578125" customWidth="1"/>
    <col min="10082" max="10082" width="1.7109375" customWidth="1"/>
    <col min="10083" max="10083" width="13.42578125" customWidth="1"/>
    <col min="10084" max="10084" width="11.140625" customWidth="1"/>
    <col min="10085" max="10085" width="11.28515625" customWidth="1"/>
    <col min="10086" max="10086" width="1.5703125" customWidth="1"/>
    <col min="10087" max="10087" width="14.42578125" customWidth="1"/>
    <col min="10088" max="10088" width="10.85546875" customWidth="1"/>
    <col min="10089" max="10089" width="13.5703125" customWidth="1"/>
    <col min="10090" max="10090" width="1.42578125" customWidth="1"/>
    <col min="10091" max="10091" width="15.28515625" customWidth="1"/>
    <col min="10092" max="10092" width="11.5703125" customWidth="1"/>
    <col min="10093" max="10093" width="14.28515625" customWidth="1"/>
    <col min="10094" max="10094" width="1.5703125" customWidth="1"/>
    <col min="10095" max="10095" width="16" customWidth="1"/>
    <col min="10096" max="10096" width="11.28515625" customWidth="1"/>
    <col min="10097" max="10097" width="13.5703125" customWidth="1"/>
    <col min="10098" max="10098" width="1.5703125" customWidth="1"/>
    <col min="10099" max="10099" width="15.140625" customWidth="1"/>
    <col min="10100" max="10100" width="11.7109375" customWidth="1"/>
    <col min="10101" max="10101" width="13.7109375" customWidth="1"/>
    <col min="10102" max="10102" width="1.42578125" customWidth="1"/>
    <col min="10103" max="10105" width="12.28515625" bestFit="1" customWidth="1"/>
    <col min="10106" max="10106" width="1.28515625" customWidth="1"/>
    <col min="10107" max="10109" width="12.28515625" bestFit="1" customWidth="1"/>
    <col min="10110" max="10110" width="1.42578125" customWidth="1"/>
    <col min="10111" max="10111" width="11.7109375" customWidth="1"/>
    <col min="10112" max="10112" width="12.28515625" bestFit="1" customWidth="1"/>
    <col min="10113" max="10113" width="11.7109375" customWidth="1"/>
    <col min="10114" max="10114" width="1.42578125" customWidth="1"/>
    <col min="10241" max="10241" width="18.42578125" customWidth="1"/>
    <col min="10242" max="10242" width="1.28515625" customWidth="1"/>
    <col min="10243" max="10243" width="13.7109375" customWidth="1"/>
    <col min="10244" max="10244" width="11.28515625" bestFit="1" customWidth="1"/>
    <col min="10245" max="10245" width="10.7109375" customWidth="1"/>
    <col min="10246" max="10253" width="0" hidden="1" customWidth="1"/>
    <col min="10254" max="10254" width="1.28515625" customWidth="1"/>
    <col min="10255" max="10258" width="0" hidden="1" customWidth="1"/>
    <col min="10259" max="10259" width="11" customWidth="1"/>
    <col min="10260" max="10260" width="10.42578125" customWidth="1"/>
    <col min="10261" max="10261" width="11.5703125" customWidth="1"/>
    <col min="10262" max="10285" width="0" hidden="1" customWidth="1"/>
    <col min="10286" max="10286" width="1.28515625" customWidth="1"/>
    <col min="10287" max="10287" width="11.7109375" customWidth="1"/>
    <col min="10288" max="10288" width="10.85546875" customWidth="1"/>
    <col min="10289" max="10289" width="11" customWidth="1"/>
    <col min="10290" max="10290" width="1.140625" customWidth="1"/>
    <col min="10291" max="10292" width="10.85546875" customWidth="1"/>
    <col min="10293" max="10293" width="11" customWidth="1"/>
    <col min="10294" max="10294" width="1.5703125" customWidth="1"/>
    <col min="10295" max="10295" width="10.7109375" customWidth="1"/>
    <col min="10296" max="10296" width="10.140625" customWidth="1"/>
    <col min="10297" max="10297" width="10.5703125" customWidth="1"/>
    <col min="10298" max="10298" width="2.140625" customWidth="1"/>
    <col min="10299" max="10299" width="10.85546875" customWidth="1"/>
    <col min="10300" max="10300" width="10.28515625" customWidth="1"/>
    <col min="10301" max="10301" width="10.42578125" customWidth="1"/>
    <col min="10302" max="10302" width="1.85546875" customWidth="1"/>
    <col min="10303" max="10314" width="0" hidden="1" customWidth="1"/>
    <col min="10315" max="10315" width="11.7109375" customWidth="1"/>
    <col min="10316" max="10316" width="10.140625" customWidth="1"/>
    <col min="10317" max="10317" width="11.7109375" customWidth="1"/>
    <col min="10318" max="10318" width="1.140625" customWidth="1"/>
    <col min="10319" max="10320" width="10.85546875" customWidth="1"/>
    <col min="10321" max="10321" width="10.7109375" customWidth="1"/>
    <col min="10322" max="10322" width="1.140625" customWidth="1"/>
    <col min="10323" max="10323" width="10" customWidth="1"/>
    <col min="10324" max="10324" width="9.85546875" customWidth="1"/>
    <col min="10325" max="10325" width="10.42578125" customWidth="1"/>
    <col min="10326" max="10326" width="1.140625" customWidth="1"/>
    <col min="10327" max="10327" width="10" customWidth="1"/>
    <col min="10328" max="10328" width="9.85546875" customWidth="1"/>
    <col min="10329" max="10329" width="10.85546875" bestFit="1" customWidth="1"/>
    <col min="10330" max="10330" width="1.42578125" customWidth="1"/>
    <col min="10331" max="10331" width="12.140625" customWidth="1"/>
    <col min="10332" max="10332" width="10.7109375" customWidth="1"/>
    <col min="10333" max="10333" width="14.42578125" customWidth="1"/>
    <col min="10334" max="10334" width="1.7109375" customWidth="1"/>
    <col min="10335" max="10335" width="11.28515625" customWidth="1"/>
    <col min="10336" max="10336" width="11.5703125" bestFit="1" customWidth="1"/>
    <col min="10337" max="10337" width="12.42578125" customWidth="1"/>
    <col min="10338" max="10338" width="1.7109375" customWidth="1"/>
    <col min="10339" max="10339" width="13.42578125" customWidth="1"/>
    <col min="10340" max="10340" width="11.140625" customWidth="1"/>
    <col min="10341" max="10341" width="11.28515625" customWidth="1"/>
    <col min="10342" max="10342" width="1.5703125" customWidth="1"/>
    <col min="10343" max="10343" width="14.42578125" customWidth="1"/>
    <col min="10344" max="10344" width="10.85546875" customWidth="1"/>
    <col min="10345" max="10345" width="13.5703125" customWidth="1"/>
    <col min="10346" max="10346" width="1.42578125" customWidth="1"/>
    <col min="10347" max="10347" width="15.28515625" customWidth="1"/>
    <col min="10348" max="10348" width="11.5703125" customWidth="1"/>
    <col min="10349" max="10349" width="14.28515625" customWidth="1"/>
    <col min="10350" max="10350" width="1.5703125" customWidth="1"/>
    <col min="10351" max="10351" width="16" customWidth="1"/>
    <col min="10352" max="10352" width="11.28515625" customWidth="1"/>
    <col min="10353" max="10353" width="13.5703125" customWidth="1"/>
    <col min="10354" max="10354" width="1.5703125" customWidth="1"/>
    <col min="10355" max="10355" width="15.140625" customWidth="1"/>
    <col min="10356" max="10356" width="11.7109375" customWidth="1"/>
    <col min="10357" max="10357" width="13.7109375" customWidth="1"/>
    <col min="10358" max="10358" width="1.42578125" customWidth="1"/>
    <col min="10359" max="10361" width="12.28515625" bestFit="1" customWidth="1"/>
    <col min="10362" max="10362" width="1.28515625" customWidth="1"/>
    <col min="10363" max="10365" width="12.28515625" bestFit="1" customWidth="1"/>
    <col min="10366" max="10366" width="1.42578125" customWidth="1"/>
    <col min="10367" max="10367" width="11.7109375" customWidth="1"/>
    <col min="10368" max="10368" width="12.28515625" bestFit="1" customWidth="1"/>
    <col min="10369" max="10369" width="11.7109375" customWidth="1"/>
    <col min="10370" max="10370" width="1.42578125" customWidth="1"/>
    <col min="10497" max="10497" width="18.42578125" customWidth="1"/>
    <col min="10498" max="10498" width="1.28515625" customWidth="1"/>
    <col min="10499" max="10499" width="13.7109375" customWidth="1"/>
    <col min="10500" max="10500" width="11.28515625" bestFit="1" customWidth="1"/>
    <col min="10501" max="10501" width="10.7109375" customWidth="1"/>
    <col min="10502" max="10509" width="0" hidden="1" customWidth="1"/>
    <col min="10510" max="10510" width="1.28515625" customWidth="1"/>
    <col min="10511" max="10514" width="0" hidden="1" customWidth="1"/>
    <col min="10515" max="10515" width="11" customWidth="1"/>
    <col min="10516" max="10516" width="10.42578125" customWidth="1"/>
    <col min="10517" max="10517" width="11.5703125" customWidth="1"/>
    <col min="10518" max="10541" width="0" hidden="1" customWidth="1"/>
    <col min="10542" max="10542" width="1.28515625" customWidth="1"/>
    <col min="10543" max="10543" width="11.7109375" customWidth="1"/>
    <col min="10544" max="10544" width="10.85546875" customWidth="1"/>
    <col min="10545" max="10545" width="11" customWidth="1"/>
    <col min="10546" max="10546" width="1.140625" customWidth="1"/>
    <col min="10547" max="10548" width="10.85546875" customWidth="1"/>
    <col min="10549" max="10549" width="11" customWidth="1"/>
    <col min="10550" max="10550" width="1.5703125" customWidth="1"/>
    <col min="10551" max="10551" width="10.7109375" customWidth="1"/>
    <col min="10552" max="10552" width="10.140625" customWidth="1"/>
    <col min="10553" max="10553" width="10.5703125" customWidth="1"/>
    <col min="10554" max="10554" width="2.140625" customWidth="1"/>
    <col min="10555" max="10555" width="10.85546875" customWidth="1"/>
    <col min="10556" max="10556" width="10.28515625" customWidth="1"/>
    <col min="10557" max="10557" width="10.42578125" customWidth="1"/>
    <col min="10558" max="10558" width="1.85546875" customWidth="1"/>
    <col min="10559" max="10570" width="0" hidden="1" customWidth="1"/>
    <col min="10571" max="10571" width="11.7109375" customWidth="1"/>
    <col min="10572" max="10572" width="10.140625" customWidth="1"/>
    <col min="10573" max="10573" width="11.7109375" customWidth="1"/>
    <col min="10574" max="10574" width="1.140625" customWidth="1"/>
    <col min="10575" max="10576" width="10.85546875" customWidth="1"/>
    <col min="10577" max="10577" width="10.7109375" customWidth="1"/>
    <col min="10578" max="10578" width="1.140625" customWidth="1"/>
    <col min="10579" max="10579" width="10" customWidth="1"/>
    <col min="10580" max="10580" width="9.85546875" customWidth="1"/>
    <col min="10581" max="10581" width="10.42578125" customWidth="1"/>
    <col min="10582" max="10582" width="1.140625" customWidth="1"/>
    <col min="10583" max="10583" width="10" customWidth="1"/>
    <col min="10584" max="10584" width="9.85546875" customWidth="1"/>
    <col min="10585" max="10585" width="10.85546875" bestFit="1" customWidth="1"/>
    <col min="10586" max="10586" width="1.42578125" customWidth="1"/>
    <col min="10587" max="10587" width="12.140625" customWidth="1"/>
    <col min="10588" max="10588" width="10.7109375" customWidth="1"/>
    <col min="10589" max="10589" width="14.42578125" customWidth="1"/>
    <col min="10590" max="10590" width="1.7109375" customWidth="1"/>
    <col min="10591" max="10591" width="11.28515625" customWidth="1"/>
    <col min="10592" max="10592" width="11.5703125" bestFit="1" customWidth="1"/>
    <col min="10593" max="10593" width="12.42578125" customWidth="1"/>
    <col min="10594" max="10594" width="1.7109375" customWidth="1"/>
    <col min="10595" max="10595" width="13.42578125" customWidth="1"/>
    <col min="10596" max="10596" width="11.140625" customWidth="1"/>
    <col min="10597" max="10597" width="11.28515625" customWidth="1"/>
    <col min="10598" max="10598" width="1.5703125" customWidth="1"/>
    <col min="10599" max="10599" width="14.42578125" customWidth="1"/>
    <col min="10600" max="10600" width="10.85546875" customWidth="1"/>
    <col min="10601" max="10601" width="13.5703125" customWidth="1"/>
    <col min="10602" max="10602" width="1.42578125" customWidth="1"/>
    <col min="10603" max="10603" width="15.28515625" customWidth="1"/>
    <col min="10604" max="10604" width="11.5703125" customWidth="1"/>
    <col min="10605" max="10605" width="14.28515625" customWidth="1"/>
    <col min="10606" max="10606" width="1.5703125" customWidth="1"/>
    <col min="10607" max="10607" width="16" customWidth="1"/>
    <col min="10608" max="10608" width="11.28515625" customWidth="1"/>
    <col min="10609" max="10609" width="13.5703125" customWidth="1"/>
    <col min="10610" max="10610" width="1.5703125" customWidth="1"/>
    <col min="10611" max="10611" width="15.140625" customWidth="1"/>
    <col min="10612" max="10612" width="11.7109375" customWidth="1"/>
    <col min="10613" max="10613" width="13.7109375" customWidth="1"/>
    <col min="10614" max="10614" width="1.42578125" customWidth="1"/>
    <col min="10615" max="10617" width="12.28515625" bestFit="1" customWidth="1"/>
    <col min="10618" max="10618" width="1.28515625" customWidth="1"/>
    <col min="10619" max="10621" width="12.28515625" bestFit="1" customWidth="1"/>
    <col min="10622" max="10622" width="1.42578125" customWidth="1"/>
    <col min="10623" max="10623" width="11.7109375" customWidth="1"/>
    <col min="10624" max="10624" width="12.28515625" bestFit="1" customWidth="1"/>
    <col min="10625" max="10625" width="11.7109375" customWidth="1"/>
    <col min="10626" max="10626" width="1.42578125" customWidth="1"/>
    <col min="10753" max="10753" width="18.42578125" customWidth="1"/>
    <col min="10754" max="10754" width="1.28515625" customWidth="1"/>
    <col min="10755" max="10755" width="13.7109375" customWidth="1"/>
    <col min="10756" max="10756" width="11.28515625" bestFit="1" customWidth="1"/>
    <col min="10757" max="10757" width="10.7109375" customWidth="1"/>
    <col min="10758" max="10765" width="0" hidden="1" customWidth="1"/>
    <col min="10766" max="10766" width="1.28515625" customWidth="1"/>
    <col min="10767" max="10770" width="0" hidden="1" customWidth="1"/>
    <col min="10771" max="10771" width="11" customWidth="1"/>
    <col min="10772" max="10772" width="10.42578125" customWidth="1"/>
    <col min="10773" max="10773" width="11.5703125" customWidth="1"/>
    <col min="10774" max="10797" width="0" hidden="1" customWidth="1"/>
    <col min="10798" max="10798" width="1.28515625" customWidth="1"/>
    <col min="10799" max="10799" width="11.7109375" customWidth="1"/>
    <col min="10800" max="10800" width="10.85546875" customWidth="1"/>
    <col min="10801" max="10801" width="11" customWidth="1"/>
    <col min="10802" max="10802" width="1.140625" customWidth="1"/>
    <col min="10803" max="10804" width="10.85546875" customWidth="1"/>
    <col min="10805" max="10805" width="11" customWidth="1"/>
    <col min="10806" max="10806" width="1.5703125" customWidth="1"/>
    <col min="10807" max="10807" width="10.7109375" customWidth="1"/>
    <col min="10808" max="10808" width="10.140625" customWidth="1"/>
    <col min="10809" max="10809" width="10.5703125" customWidth="1"/>
    <col min="10810" max="10810" width="2.140625" customWidth="1"/>
    <col min="10811" max="10811" width="10.85546875" customWidth="1"/>
    <col min="10812" max="10812" width="10.28515625" customWidth="1"/>
    <col min="10813" max="10813" width="10.42578125" customWidth="1"/>
    <col min="10814" max="10814" width="1.85546875" customWidth="1"/>
    <col min="10815" max="10826" width="0" hidden="1" customWidth="1"/>
    <col min="10827" max="10827" width="11.7109375" customWidth="1"/>
    <col min="10828" max="10828" width="10.140625" customWidth="1"/>
    <col min="10829" max="10829" width="11.7109375" customWidth="1"/>
    <col min="10830" max="10830" width="1.140625" customWidth="1"/>
    <col min="10831" max="10832" width="10.85546875" customWidth="1"/>
    <col min="10833" max="10833" width="10.7109375" customWidth="1"/>
    <col min="10834" max="10834" width="1.140625" customWidth="1"/>
    <col min="10835" max="10835" width="10" customWidth="1"/>
    <col min="10836" max="10836" width="9.85546875" customWidth="1"/>
    <col min="10837" max="10837" width="10.42578125" customWidth="1"/>
    <col min="10838" max="10838" width="1.140625" customWidth="1"/>
    <col min="10839" max="10839" width="10" customWidth="1"/>
    <col min="10840" max="10840" width="9.85546875" customWidth="1"/>
    <col min="10841" max="10841" width="10.85546875" bestFit="1" customWidth="1"/>
    <col min="10842" max="10842" width="1.42578125" customWidth="1"/>
    <col min="10843" max="10843" width="12.140625" customWidth="1"/>
    <col min="10844" max="10844" width="10.7109375" customWidth="1"/>
    <col min="10845" max="10845" width="14.42578125" customWidth="1"/>
    <col min="10846" max="10846" width="1.7109375" customWidth="1"/>
    <col min="10847" max="10847" width="11.28515625" customWidth="1"/>
    <col min="10848" max="10848" width="11.5703125" bestFit="1" customWidth="1"/>
    <col min="10849" max="10849" width="12.42578125" customWidth="1"/>
    <col min="10850" max="10850" width="1.7109375" customWidth="1"/>
    <col min="10851" max="10851" width="13.42578125" customWidth="1"/>
    <col min="10852" max="10852" width="11.140625" customWidth="1"/>
    <col min="10853" max="10853" width="11.28515625" customWidth="1"/>
    <col min="10854" max="10854" width="1.5703125" customWidth="1"/>
    <col min="10855" max="10855" width="14.42578125" customWidth="1"/>
    <col min="10856" max="10856" width="10.85546875" customWidth="1"/>
    <col min="10857" max="10857" width="13.5703125" customWidth="1"/>
    <col min="10858" max="10858" width="1.42578125" customWidth="1"/>
    <col min="10859" max="10859" width="15.28515625" customWidth="1"/>
    <col min="10860" max="10860" width="11.5703125" customWidth="1"/>
    <col min="10861" max="10861" width="14.28515625" customWidth="1"/>
    <col min="10862" max="10862" width="1.5703125" customWidth="1"/>
    <col min="10863" max="10863" width="16" customWidth="1"/>
    <col min="10864" max="10864" width="11.28515625" customWidth="1"/>
    <col min="10865" max="10865" width="13.5703125" customWidth="1"/>
    <col min="10866" max="10866" width="1.5703125" customWidth="1"/>
    <col min="10867" max="10867" width="15.140625" customWidth="1"/>
    <col min="10868" max="10868" width="11.7109375" customWidth="1"/>
    <col min="10869" max="10869" width="13.7109375" customWidth="1"/>
    <col min="10870" max="10870" width="1.42578125" customWidth="1"/>
    <col min="10871" max="10873" width="12.28515625" bestFit="1" customWidth="1"/>
    <col min="10874" max="10874" width="1.28515625" customWidth="1"/>
    <col min="10875" max="10877" width="12.28515625" bestFit="1" customWidth="1"/>
    <col min="10878" max="10878" width="1.42578125" customWidth="1"/>
    <col min="10879" max="10879" width="11.7109375" customWidth="1"/>
    <col min="10880" max="10880" width="12.28515625" bestFit="1" customWidth="1"/>
    <col min="10881" max="10881" width="11.7109375" customWidth="1"/>
    <col min="10882" max="10882" width="1.42578125" customWidth="1"/>
    <col min="11009" max="11009" width="18.42578125" customWidth="1"/>
    <col min="11010" max="11010" width="1.28515625" customWidth="1"/>
    <col min="11011" max="11011" width="13.7109375" customWidth="1"/>
    <col min="11012" max="11012" width="11.28515625" bestFit="1" customWidth="1"/>
    <col min="11013" max="11013" width="10.7109375" customWidth="1"/>
    <col min="11014" max="11021" width="0" hidden="1" customWidth="1"/>
    <col min="11022" max="11022" width="1.28515625" customWidth="1"/>
    <col min="11023" max="11026" width="0" hidden="1" customWidth="1"/>
    <col min="11027" max="11027" width="11" customWidth="1"/>
    <col min="11028" max="11028" width="10.42578125" customWidth="1"/>
    <col min="11029" max="11029" width="11.5703125" customWidth="1"/>
    <col min="11030" max="11053" width="0" hidden="1" customWidth="1"/>
    <col min="11054" max="11054" width="1.28515625" customWidth="1"/>
    <col min="11055" max="11055" width="11.7109375" customWidth="1"/>
    <col min="11056" max="11056" width="10.85546875" customWidth="1"/>
    <col min="11057" max="11057" width="11" customWidth="1"/>
    <col min="11058" max="11058" width="1.140625" customWidth="1"/>
    <col min="11059" max="11060" width="10.85546875" customWidth="1"/>
    <col min="11061" max="11061" width="11" customWidth="1"/>
    <col min="11062" max="11062" width="1.5703125" customWidth="1"/>
    <col min="11063" max="11063" width="10.7109375" customWidth="1"/>
    <col min="11064" max="11064" width="10.140625" customWidth="1"/>
    <col min="11065" max="11065" width="10.5703125" customWidth="1"/>
    <col min="11066" max="11066" width="2.140625" customWidth="1"/>
    <col min="11067" max="11067" width="10.85546875" customWidth="1"/>
    <col min="11068" max="11068" width="10.28515625" customWidth="1"/>
    <col min="11069" max="11069" width="10.42578125" customWidth="1"/>
    <col min="11070" max="11070" width="1.85546875" customWidth="1"/>
    <col min="11071" max="11082" width="0" hidden="1" customWidth="1"/>
    <col min="11083" max="11083" width="11.7109375" customWidth="1"/>
    <col min="11084" max="11084" width="10.140625" customWidth="1"/>
    <col min="11085" max="11085" width="11.7109375" customWidth="1"/>
    <col min="11086" max="11086" width="1.140625" customWidth="1"/>
    <col min="11087" max="11088" width="10.85546875" customWidth="1"/>
    <col min="11089" max="11089" width="10.7109375" customWidth="1"/>
    <col min="11090" max="11090" width="1.140625" customWidth="1"/>
    <col min="11091" max="11091" width="10" customWidth="1"/>
    <col min="11092" max="11092" width="9.85546875" customWidth="1"/>
    <col min="11093" max="11093" width="10.42578125" customWidth="1"/>
    <col min="11094" max="11094" width="1.140625" customWidth="1"/>
    <col min="11095" max="11095" width="10" customWidth="1"/>
    <col min="11096" max="11096" width="9.85546875" customWidth="1"/>
    <col min="11097" max="11097" width="10.85546875" bestFit="1" customWidth="1"/>
    <col min="11098" max="11098" width="1.42578125" customWidth="1"/>
    <col min="11099" max="11099" width="12.140625" customWidth="1"/>
    <col min="11100" max="11100" width="10.7109375" customWidth="1"/>
    <col min="11101" max="11101" width="14.42578125" customWidth="1"/>
    <col min="11102" max="11102" width="1.7109375" customWidth="1"/>
    <col min="11103" max="11103" width="11.28515625" customWidth="1"/>
    <col min="11104" max="11104" width="11.5703125" bestFit="1" customWidth="1"/>
    <col min="11105" max="11105" width="12.42578125" customWidth="1"/>
    <col min="11106" max="11106" width="1.7109375" customWidth="1"/>
    <col min="11107" max="11107" width="13.42578125" customWidth="1"/>
    <col min="11108" max="11108" width="11.140625" customWidth="1"/>
    <col min="11109" max="11109" width="11.28515625" customWidth="1"/>
    <col min="11110" max="11110" width="1.5703125" customWidth="1"/>
    <col min="11111" max="11111" width="14.42578125" customWidth="1"/>
    <col min="11112" max="11112" width="10.85546875" customWidth="1"/>
    <col min="11113" max="11113" width="13.5703125" customWidth="1"/>
    <col min="11114" max="11114" width="1.42578125" customWidth="1"/>
    <col min="11115" max="11115" width="15.28515625" customWidth="1"/>
    <col min="11116" max="11116" width="11.5703125" customWidth="1"/>
    <col min="11117" max="11117" width="14.28515625" customWidth="1"/>
    <col min="11118" max="11118" width="1.5703125" customWidth="1"/>
    <col min="11119" max="11119" width="16" customWidth="1"/>
    <col min="11120" max="11120" width="11.28515625" customWidth="1"/>
    <col min="11121" max="11121" width="13.5703125" customWidth="1"/>
    <col min="11122" max="11122" width="1.5703125" customWidth="1"/>
    <col min="11123" max="11123" width="15.140625" customWidth="1"/>
    <col min="11124" max="11124" width="11.7109375" customWidth="1"/>
    <col min="11125" max="11125" width="13.7109375" customWidth="1"/>
    <col min="11126" max="11126" width="1.42578125" customWidth="1"/>
    <col min="11127" max="11129" width="12.28515625" bestFit="1" customWidth="1"/>
    <col min="11130" max="11130" width="1.28515625" customWidth="1"/>
    <col min="11131" max="11133" width="12.28515625" bestFit="1" customWidth="1"/>
    <col min="11134" max="11134" width="1.42578125" customWidth="1"/>
    <col min="11135" max="11135" width="11.7109375" customWidth="1"/>
    <col min="11136" max="11136" width="12.28515625" bestFit="1" customWidth="1"/>
    <col min="11137" max="11137" width="11.7109375" customWidth="1"/>
    <col min="11138" max="11138" width="1.42578125" customWidth="1"/>
    <col min="11265" max="11265" width="18.42578125" customWidth="1"/>
    <col min="11266" max="11266" width="1.28515625" customWidth="1"/>
    <col min="11267" max="11267" width="13.7109375" customWidth="1"/>
    <col min="11268" max="11268" width="11.28515625" bestFit="1" customWidth="1"/>
    <col min="11269" max="11269" width="10.7109375" customWidth="1"/>
    <col min="11270" max="11277" width="0" hidden="1" customWidth="1"/>
    <col min="11278" max="11278" width="1.28515625" customWidth="1"/>
    <col min="11279" max="11282" width="0" hidden="1" customWidth="1"/>
    <col min="11283" max="11283" width="11" customWidth="1"/>
    <col min="11284" max="11284" width="10.42578125" customWidth="1"/>
    <col min="11285" max="11285" width="11.5703125" customWidth="1"/>
    <col min="11286" max="11309" width="0" hidden="1" customWidth="1"/>
    <col min="11310" max="11310" width="1.28515625" customWidth="1"/>
    <col min="11311" max="11311" width="11.7109375" customWidth="1"/>
    <col min="11312" max="11312" width="10.85546875" customWidth="1"/>
    <col min="11313" max="11313" width="11" customWidth="1"/>
    <col min="11314" max="11314" width="1.140625" customWidth="1"/>
    <col min="11315" max="11316" width="10.85546875" customWidth="1"/>
    <col min="11317" max="11317" width="11" customWidth="1"/>
    <col min="11318" max="11318" width="1.5703125" customWidth="1"/>
    <col min="11319" max="11319" width="10.7109375" customWidth="1"/>
    <col min="11320" max="11320" width="10.140625" customWidth="1"/>
    <col min="11321" max="11321" width="10.5703125" customWidth="1"/>
    <col min="11322" max="11322" width="2.140625" customWidth="1"/>
    <col min="11323" max="11323" width="10.85546875" customWidth="1"/>
    <col min="11324" max="11324" width="10.28515625" customWidth="1"/>
    <col min="11325" max="11325" width="10.42578125" customWidth="1"/>
    <col min="11326" max="11326" width="1.85546875" customWidth="1"/>
    <col min="11327" max="11338" width="0" hidden="1" customWidth="1"/>
    <col min="11339" max="11339" width="11.7109375" customWidth="1"/>
    <col min="11340" max="11340" width="10.140625" customWidth="1"/>
    <col min="11341" max="11341" width="11.7109375" customWidth="1"/>
    <col min="11342" max="11342" width="1.140625" customWidth="1"/>
    <col min="11343" max="11344" width="10.85546875" customWidth="1"/>
    <col min="11345" max="11345" width="10.7109375" customWidth="1"/>
    <col min="11346" max="11346" width="1.140625" customWidth="1"/>
    <col min="11347" max="11347" width="10" customWidth="1"/>
    <col min="11348" max="11348" width="9.85546875" customWidth="1"/>
    <col min="11349" max="11349" width="10.42578125" customWidth="1"/>
    <col min="11350" max="11350" width="1.140625" customWidth="1"/>
    <col min="11351" max="11351" width="10" customWidth="1"/>
    <col min="11352" max="11352" width="9.85546875" customWidth="1"/>
    <col min="11353" max="11353" width="10.85546875" bestFit="1" customWidth="1"/>
    <col min="11354" max="11354" width="1.42578125" customWidth="1"/>
    <col min="11355" max="11355" width="12.140625" customWidth="1"/>
    <col min="11356" max="11356" width="10.7109375" customWidth="1"/>
    <col min="11357" max="11357" width="14.42578125" customWidth="1"/>
    <col min="11358" max="11358" width="1.7109375" customWidth="1"/>
    <col min="11359" max="11359" width="11.28515625" customWidth="1"/>
    <col min="11360" max="11360" width="11.5703125" bestFit="1" customWidth="1"/>
    <col min="11361" max="11361" width="12.42578125" customWidth="1"/>
    <col min="11362" max="11362" width="1.7109375" customWidth="1"/>
    <col min="11363" max="11363" width="13.42578125" customWidth="1"/>
    <col min="11364" max="11364" width="11.140625" customWidth="1"/>
    <col min="11365" max="11365" width="11.28515625" customWidth="1"/>
    <col min="11366" max="11366" width="1.5703125" customWidth="1"/>
    <col min="11367" max="11367" width="14.42578125" customWidth="1"/>
    <col min="11368" max="11368" width="10.85546875" customWidth="1"/>
    <col min="11369" max="11369" width="13.5703125" customWidth="1"/>
    <col min="11370" max="11370" width="1.42578125" customWidth="1"/>
    <col min="11371" max="11371" width="15.28515625" customWidth="1"/>
    <col min="11372" max="11372" width="11.5703125" customWidth="1"/>
    <col min="11373" max="11373" width="14.28515625" customWidth="1"/>
    <col min="11374" max="11374" width="1.5703125" customWidth="1"/>
    <col min="11375" max="11375" width="16" customWidth="1"/>
    <col min="11376" max="11376" width="11.28515625" customWidth="1"/>
    <col min="11377" max="11377" width="13.5703125" customWidth="1"/>
    <col min="11378" max="11378" width="1.5703125" customWidth="1"/>
    <col min="11379" max="11379" width="15.140625" customWidth="1"/>
    <col min="11380" max="11380" width="11.7109375" customWidth="1"/>
    <col min="11381" max="11381" width="13.7109375" customWidth="1"/>
    <col min="11382" max="11382" width="1.42578125" customWidth="1"/>
    <col min="11383" max="11385" width="12.28515625" bestFit="1" customWidth="1"/>
    <col min="11386" max="11386" width="1.28515625" customWidth="1"/>
    <col min="11387" max="11389" width="12.28515625" bestFit="1" customWidth="1"/>
    <col min="11390" max="11390" width="1.42578125" customWidth="1"/>
    <col min="11391" max="11391" width="11.7109375" customWidth="1"/>
    <col min="11392" max="11392" width="12.28515625" bestFit="1" customWidth="1"/>
    <col min="11393" max="11393" width="11.7109375" customWidth="1"/>
    <col min="11394" max="11394" width="1.42578125" customWidth="1"/>
    <col min="11521" max="11521" width="18.42578125" customWidth="1"/>
    <col min="11522" max="11522" width="1.28515625" customWidth="1"/>
    <col min="11523" max="11523" width="13.7109375" customWidth="1"/>
    <col min="11524" max="11524" width="11.28515625" bestFit="1" customWidth="1"/>
    <col min="11525" max="11525" width="10.7109375" customWidth="1"/>
    <col min="11526" max="11533" width="0" hidden="1" customWidth="1"/>
    <col min="11534" max="11534" width="1.28515625" customWidth="1"/>
    <col min="11535" max="11538" width="0" hidden="1" customWidth="1"/>
    <col min="11539" max="11539" width="11" customWidth="1"/>
    <col min="11540" max="11540" width="10.42578125" customWidth="1"/>
    <col min="11541" max="11541" width="11.5703125" customWidth="1"/>
    <col min="11542" max="11565" width="0" hidden="1" customWidth="1"/>
    <col min="11566" max="11566" width="1.28515625" customWidth="1"/>
    <col min="11567" max="11567" width="11.7109375" customWidth="1"/>
    <col min="11568" max="11568" width="10.85546875" customWidth="1"/>
    <col min="11569" max="11569" width="11" customWidth="1"/>
    <col min="11570" max="11570" width="1.140625" customWidth="1"/>
    <col min="11571" max="11572" width="10.85546875" customWidth="1"/>
    <col min="11573" max="11573" width="11" customWidth="1"/>
    <col min="11574" max="11574" width="1.5703125" customWidth="1"/>
    <col min="11575" max="11575" width="10.7109375" customWidth="1"/>
    <col min="11576" max="11576" width="10.140625" customWidth="1"/>
    <col min="11577" max="11577" width="10.5703125" customWidth="1"/>
    <col min="11578" max="11578" width="2.140625" customWidth="1"/>
    <col min="11579" max="11579" width="10.85546875" customWidth="1"/>
    <col min="11580" max="11580" width="10.28515625" customWidth="1"/>
    <col min="11581" max="11581" width="10.42578125" customWidth="1"/>
    <col min="11582" max="11582" width="1.85546875" customWidth="1"/>
    <col min="11583" max="11594" width="0" hidden="1" customWidth="1"/>
    <col min="11595" max="11595" width="11.7109375" customWidth="1"/>
    <col min="11596" max="11596" width="10.140625" customWidth="1"/>
    <col min="11597" max="11597" width="11.7109375" customWidth="1"/>
    <col min="11598" max="11598" width="1.140625" customWidth="1"/>
    <col min="11599" max="11600" width="10.85546875" customWidth="1"/>
    <col min="11601" max="11601" width="10.7109375" customWidth="1"/>
    <col min="11602" max="11602" width="1.140625" customWidth="1"/>
    <col min="11603" max="11603" width="10" customWidth="1"/>
    <col min="11604" max="11604" width="9.85546875" customWidth="1"/>
    <col min="11605" max="11605" width="10.42578125" customWidth="1"/>
    <col min="11606" max="11606" width="1.140625" customWidth="1"/>
    <col min="11607" max="11607" width="10" customWidth="1"/>
    <col min="11608" max="11608" width="9.85546875" customWidth="1"/>
    <col min="11609" max="11609" width="10.85546875" bestFit="1" customWidth="1"/>
    <col min="11610" max="11610" width="1.42578125" customWidth="1"/>
    <col min="11611" max="11611" width="12.140625" customWidth="1"/>
    <col min="11612" max="11612" width="10.7109375" customWidth="1"/>
    <col min="11613" max="11613" width="14.42578125" customWidth="1"/>
    <col min="11614" max="11614" width="1.7109375" customWidth="1"/>
    <col min="11615" max="11615" width="11.28515625" customWidth="1"/>
    <col min="11616" max="11616" width="11.5703125" bestFit="1" customWidth="1"/>
    <col min="11617" max="11617" width="12.42578125" customWidth="1"/>
    <col min="11618" max="11618" width="1.7109375" customWidth="1"/>
    <col min="11619" max="11619" width="13.42578125" customWidth="1"/>
    <col min="11620" max="11620" width="11.140625" customWidth="1"/>
    <col min="11621" max="11621" width="11.28515625" customWidth="1"/>
    <col min="11622" max="11622" width="1.5703125" customWidth="1"/>
    <col min="11623" max="11623" width="14.42578125" customWidth="1"/>
    <col min="11624" max="11624" width="10.85546875" customWidth="1"/>
    <col min="11625" max="11625" width="13.5703125" customWidth="1"/>
    <col min="11626" max="11626" width="1.42578125" customWidth="1"/>
    <col min="11627" max="11627" width="15.28515625" customWidth="1"/>
    <col min="11628" max="11628" width="11.5703125" customWidth="1"/>
    <col min="11629" max="11629" width="14.28515625" customWidth="1"/>
    <col min="11630" max="11630" width="1.5703125" customWidth="1"/>
    <col min="11631" max="11631" width="16" customWidth="1"/>
    <col min="11632" max="11632" width="11.28515625" customWidth="1"/>
    <col min="11633" max="11633" width="13.5703125" customWidth="1"/>
    <col min="11634" max="11634" width="1.5703125" customWidth="1"/>
    <col min="11635" max="11635" width="15.140625" customWidth="1"/>
    <col min="11636" max="11636" width="11.7109375" customWidth="1"/>
    <col min="11637" max="11637" width="13.7109375" customWidth="1"/>
    <col min="11638" max="11638" width="1.42578125" customWidth="1"/>
    <col min="11639" max="11641" width="12.28515625" bestFit="1" customWidth="1"/>
    <col min="11642" max="11642" width="1.28515625" customWidth="1"/>
    <col min="11643" max="11645" width="12.28515625" bestFit="1" customWidth="1"/>
    <col min="11646" max="11646" width="1.42578125" customWidth="1"/>
    <col min="11647" max="11647" width="11.7109375" customWidth="1"/>
    <col min="11648" max="11648" width="12.28515625" bestFit="1" customWidth="1"/>
    <col min="11649" max="11649" width="11.7109375" customWidth="1"/>
    <col min="11650" max="11650" width="1.42578125" customWidth="1"/>
    <col min="11777" max="11777" width="18.42578125" customWidth="1"/>
    <col min="11778" max="11778" width="1.28515625" customWidth="1"/>
    <col min="11779" max="11779" width="13.7109375" customWidth="1"/>
    <col min="11780" max="11780" width="11.28515625" bestFit="1" customWidth="1"/>
    <col min="11781" max="11781" width="10.7109375" customWidth="1"/>
    <col min="11782" max="11789" width="0" hidden="1" customWidth="1"/>
    <col min="11790" max="11790" width="1.28515625" customWidth="1"/>
    <col min="11791" max="11794" width="0" hidden="1" customWidth="1"/>
    <col min="11795" max="11795" width="11" customWidth="1"/>
    <col min="11796" max="11796" width="10.42578125" customWidth="1"/>
    <col min="11797" max="11797" width="11.5703125" customWidth="1"/>
    <col min="11798" max="11821" width="0" hidden="1" customWidth="1"/>
    <col min="11822" max="11822" width="1.28515625" customWidth="1"/>
    <col min="11823" max="11823" width="11.7109375" customWidth="1"/>
    <col min="11824" max="11824" width="10.85546875" customWidth="1"/>
    <col min="11825" max="11825" width="11" customWidth="1"/>
    <col min="11826" max="11826" width="1.140625" customWidth="1"/>
    <col min="11827" max="11828" width="10.85546875" customWidth="1"/>
    <col min="11829" max="11829" width="11" customWidth="1"/>
    <col min="11830" max="11830" width="1.5703125" customWidth="1"/>
    <col min="11831" max="11831" width="10.7109375" customWidth="1"/>
    <col min="11832" max="11832" width="10.140625" customWidth="1"/>
    <col min="11833" max="11833" width="10.5703125" customWidth="1"/>
    <col min="11834" max="11834" width="2.140625" customWidth="1"/>
    <col min="11835" max="11835" width="10.85546875" customWidth="1"/>
    <col min="11836" max="11836" width="10.28515625" customWidth="1"/>
    <col min="11837" max="11837" width="10.42578125" customWidth="1"/>
    <col min="11838" max="11838" width="1.85546875" customWidth="1"/>
    <col min="11839" max="11850" width="0" hidden="1" customWidth="1"/>
    <col min="11851" max="11851" width="11.7109375" customWidth="1"/>
    <col min="11852" max="11852" width="10.140625" customWidth="1"/>
    <col min="11853" max="11853" width="11.7109375" customWidth="1"/>
    <col min="11854" max="11854" width="1.140625" customWidth="1"/>
    <col min="11855" max="11856" width="10.85546875" customWidth="1"/>
    <col min="11857" max="11857" width="10.7109375" customWidth="1"/>
    <col min="11858" max="11858" width="1.140625" customWidth="1"/>
    <col min="11859" max="11859" width="10" customWidth="1"/>
    <col min="11860" max="11860" width="9.85546875" customWidth="1"/>
    <col min="11861" max="11861" width="10.42578125" customWidth="1"/>
    <col min="11862" max="11862" width="1.140625" customWidth="1"/>
    <col min="11863" max="11863" width="10" customWidth="1"/>
    <col min="11864" max="11864" width="9.85546875" customWidth="1"/>
    <col min="11865" max="11865" width="10.85546875" bestFit="1" customWidth="1"/>
    <col min="11866" max="11866" width="1.42578125" customWidth="1"/>
    <col min="11867" max="11867" width="12.140625" customWidth="1"/>
    <col min="11868" max="11868" width="10.7109375" customWidth="1"/>
    <col min="11869" max="11869" width="14.42578125" customWidth="1"/>
    <col min="11870" max="11870" width="1.7109375" customWidth="1"/>
    <col min="11871" max="11871" width="11.28515625" customWidth="1"/>
    <col min="11872" max="11872" width="11.5703125" bestFit="1" customWidth="1"/>
    <col min="11873" max="11873" width="12.42578125" customWidth="1"/>
    <col min="11874" max="11874" width="1.7109375" customWidth="1"/>
    <col min="11875" max="11875" width="13.42578125" customWidth="1"/>
    <col min="11876" max="11876" width="11.140625" customWidth="1"/>
    <col min="11877" max="11877" width="11.28515625" customWidth="1"/>
    <col min="11878" max="11878" width="1.5703125" customWidth="1"/>
    <col min="11879" max="11879" width="14.42578125" customWidth="1"/>
    <col min="11880" max="11880" width="10.85546875" customWidth="1"/>
    <col min="11881" max="11881" width="13.5703125" customWidth="1"/>
    <col min="11882" max="11882" width="1.42578125" customWidth="1"/>
    <col min="11883" max="11883" width="15.28515625" customWidth="1"/>
    <col min="11884" max="11884" width="11.5703125" customWidth="1"/>
    <col min="11885" max="11885" width="14.28515625" customWidth="1"/>
    <col min="11886" max="11886" width="1.5703125" customWidth="1"/>
    <col min="11887" max="11887" width="16" customWidth="1"/>
    <col min="11888" max="11888" width="11.28515625" customWidth="1"/>
    <col min="11889" max="11889" width="13.5703125" customWidth="1"/>
    <col min="11890" max="11890" width="1.5703125" customWidth="1"/>
    <col min="11891" max="11891" width="15.140625" customWidth="1"/>
    <col min="11892" max="11892" width="11.7109375" customWidth="1"/>
    <col min="11893" max="11893" width="13.7109375" customWidth="1"/>
    <col min="11894" max="11894" width="1.42578125" customWidth="1"/>
    <col min="11895" max="11897" width="12.28515625" bestFit="1" customWidth="1"/>
    <col min="11898" max="11898" width="1.28515625" customWidth="1"/>
    <col min="11899" max="11901" width="12.28515625" bestFit="1" customWidth="1"/>
    <col min="11902" max="11902" width="1.42578125" customWidth="1"/>
    <col min="11903" max="11903" width="11.7109375" customWidth="1"/>
    <col min="11904" max="11904" width="12.28515625" bestFit="1" customWidth="1"/>
    <col min="11905" max="11905" width="11.7109375" customWidth="1"/>
    <col min="11906" max="11906" width="1.42578125" customWidth="1"/>
    <col min="12033" max="12033" width="18.42578125" customWidth="1"/>
    <col min="12034" max="12034" width="1.28515625" customWidth="1"/>
    <col min="12035" max="12035" width="13.7109375" customWidth="1"/>
    <col min="12036" max="12036" width="11.28515625" bestFit="1" customWidth="1"/>
    <col min="12037" max="12037" width="10.7109375" customWidth="1"/>
    <col min="12038" max="12045" width="0" hidden="1" customWidth="1"/>
    <col min="12046" max="12046" width="1.28515625" customWidth="1"/>
    <col min="12047" max="12050" width="0" hidden="1" customWidth="1"/>
    <col min="12051" max="12051" width="11" customWidth="1"/>
    <col min="12052" max="12052" width="10.42578125" customWidth="1"/>
    <col min="12053" max="12053" width="11.5703125" customWidth="1"/>
    <col min="12054" max="12077" width="0" hidden="1" customWidth="1"/>
    <col min="12078" max="12078" width="1.28515625" customWidth="1"/>
    <col min="12079" max="12079" width="11.7109375" customWidth="1"/>
    <col min="12080" max="12080" width="10.85546875" customWidth="1"/>
    <col min="12081" max="12081" width="11" customWidth="1"/>
    <col min="12082" max="12082" width="1.140625" customWidth="1"/>
    <col min="12083" max="12084" width="10.85546875" customWidth="1"/>
    <col min="12085" max="12085" width="11" customWidth="1"/>
    <col min="12086" max="12086" width="1.5703125" customWidth="1"/>
    <col min="12087" max="12087" width="10.7109375" customWidth="1"/>
    <col min="12088" max="12088" width="10.140625" customWidth="1"/>
    <col min="12089" max="12089" width="10.5703125" customWidth="1"/>
    <col min="12090" max="12090" width="2.140625" customWidth="1"/>
    <col min="12091" max="12091" width="10.85546875" customWidth="1"/>
    <col min="12092" max="12092" width="10.28515625" customWidth="1"/>
    <col min="12093" max="12093" width="10.42578125" customWidth="1"/>
    <col min="12094" max="12094" width="1.85546875" customWidth="1"/>
    <col min="12095" max="12106" width="0" hidden="1" customWidth="1"/>
    <col min="12107" max="12107" width="11.7109375" customWidth="1"/>
    <col min="12108" max="12108" width="10.140625" customWidth="1"/>
    <col min="12109" max="12109" width="11.7109375" customWidth="1"/>
    <col min="12110" max="12110" width="1.140625" customWidth="1"/>
    <col min="12111" max="12112" width="10.85546875" customWidth="1"/>
    <col min="12113" max="12113" width="10.7109375" customWidth="1"/>
    <col min="12114" max="12114" width="1.140625" customWidth="1"/>
    <col min="12115" max="12115" width="10" customWidth="1"/>
    <col min="12116" max="12116" width="9.85546875" customWidth="1"/>
    <col min="12117" max="12117" width="10.42578125" customWidth="1"/>
    <col min="12118" max="12118" width="1.140625" customWidth="1"/>
    <col min="12119" max="12119" width="10" customWidth="1"/>
    <col min="12120" max="12120" width="9.85546875" customWidth="1"/>
    <col min="12121" max="12121" width="10.85546875" bestFit="1" customWidth="1"/>
    <col min="12122" max="12122" width="1.42578125" customWidth="1"/>
    <col min="12123" max="12123" width="12.140625" customWidth="1"/>
    <col min="12124" max="12124" width="10.7109375" customWidth="1"/>
    <col min="12125" max="12125" width="14.42578125" customWidth="1"/>
    <col min="12126" max="12126" width="1.7109375" customWidth="1"/>
    <col min="12127" max="12127" width="11.28515625" customWidth="1"/>
    <col min="12128" max="12128" width="11.5703125" bestFit="1" customWidth="1"/>
    <col min="12129" max="12129" width="12.42578125" customWidth="1"/>
    <col min="12130" max="12130" width="1.7109375" customWidth="1"/>
    <col min="12131" max="12131" width="13.42578125" customWidth="1"/>
    <col min="12132" max="12132" width="11.140625" customWidth="1"/>
    <col min="12133" max="12133" width="11.28515625" customWidth="1"/>
    <col min="12134" max="12134" width="1.5703125" customWidth="1"/>
    <col min="12135" max="12135" width="14.42578125" customWidth="1"/>
    <col min="12136" max="12136" width="10.85546875" customWidth="1"/>
    <col min="12137" max="12137" width="13.5703125" customWidth="1"/>
    <col min="12138" max="12138" width="1.42578125" customWidth="1"/>
    <col min="12139" max="12139" width="15.28515625" customWidth="1"/>
    <col min="12140" max="12140" width="11.5703125" customWidth="1"/>
    <col min="12141" max="12141" width="14.28515625" customWidth="1"/>
    <col min="12142" max="12142" width="1.5703125" customWidth="1"/>
    <col min="12143" max="12143" width="16" customWidth="1"/>
    <col min="12144" max="12144" width="11.28515625" customWidth="1"/>
    <col min="12145" max="12145" width="13.5703125" customWidth="1"/>
    <col min="12146" max="12146" width="1.5703125" customWidth="1"/>
    <col min="12147" max="12147" width="15.140625" customWidth="1"/>
    <col min="12148" max="12148" width="11.7109375" customWidth="1"/>
    <col min="12149" max="12149" width="13.7109375" customWidth="1"/>
    <col min="12150" max="12150" width="1.42578125" customWidth="1"/>
    <col min="12151" max="12153" width="12.28515625" bestFit="1" customWidth="1"/>
    <col min="12154" max="12154" width="1.28515625" customWidth="1"/>
    <col min="12155" max="12157" width="12.28515625" bestFit="1" customWidth="1"/>
    <col min="12158" max="12158" width="1.42578125" customWidth="1"/>
    <col min="12159" max="12159" width="11.7109375" customWidth="1"/>
    <col min="12160" max="12160" width="12.28515625" bestFit="1" customWidth="1"/>
    <col min="12161" max="12161" width="11.7109375" customWidth="1"/>
    <col min="12162" max="12162" width="1.42578125" customWidth="1"/>
    <col min="12289" max="12289" width="18.42578125" customWidth="1"/>
    <col min="12290" max="12290" width="1.28515625" customWidth="1"/>
    <col min="12291" max="12291" width="13.7109375" customWidth="1"/>
    <col min="12292" max="12292" width="11.28515625" bestFit="1" customWidth="1"/>
    <col min="12293" max="12293" width="10.7109375" customWidth="1"/>
    <col min="12294" max="12301" width="0" hidden="1" customWidth="1"/>
    <col min="12302" max="12302" width="1.28515625" customWidth="1"/>
    <col min="12303" max="12306" width="0" hidden="1" customWidth="1"/>
    <col min="12307" max="12307" width="11" customWidth="1"/>
    <col min="12308" max="12308" width="10.42578125" customWidth="1"/>
    <col min="12309" max="12309" width="11.5703125" customWidth="1"/>
    <col min="12310" max="12333" width="0" hidden="1" customWidth="1"/>
    <col min="12334" max="12334" width="1.28515625" customWidth="1"/>
    <col min="12335" max="12335" width="11.7109375" customWidth="1"/>
    <col min="12336" max="12336" width="10.85546875" customWidth="1"/>
    <col min="12337" max="12337" width="11" customWidth="1"/>
    <col min="12338" max="12338" width="1.140625" customWidth="1"/>
    <col min="12339" max="12340" width="10.85546875" customWidth="1"/>
    <col min="12341" max="12341" width="11" customWidth="1"/>
    <col min="12342" max="12342" width="1.5703125" customWidth="1"/>
    <col min="12343" max="12343" width="10.7109375" customWidth="1"/>
    <col min="12344" max="12344" width="10.140625" customWidth="1"/>
    <col min="12345" max="12345" width="10.5703125" customWidth="1"/>
    <col min="12346" max="12346" width="2.140625" customWidth="1"/>
    <col min="12347" max="12347" width="10.85546875" customWidth="1"/>
    <col min="12348" max="12348" width="10.28515625" customWidth="1"/>
    <col min="12349" max="12349" width="10.42578125" customWidth="1"/>
    <col min="12350" max="12350" width="1.85546875" customWidth="1"/>
    <col min="12351" max="12362" width="0" hidden="1" customWidth="1"/>
    <col min="12363" max="12363" width="11.7109375" customWidth="1"/>
    <col min="12364" max="12364" width="10.140625" customWidth="1"/>
    <col min="12365" max="12365" width="11.7109375" customWidth="1"/>
    <col min="12366" max="12366" width="1.140625" customWidth="1"/>
    <col min="12367" max="12368" width="10.85546875" customWidth="1"/>
    <col min="12369" max="12369" width="10.7109375" customWidth="1"/>
    <col min="12370" max="12370" width="1.140625" customWidth="1"/>
    <col min="12371" max="12371" width="10" customWidth="1"/>
    <col min="12372" max="12372" width="9.85546875" customWidth="1"/>
    <col min="12373" max="12373" width="10.42578125" customWidth="1"/>
    <col min="12374" max="12374" width="1.140625" customWidth="1"/>
    <col min="12375" max="12375" width="10" customWidth="1"/>
    <col min="12376" max="12376" width="9.85546875" customWidth="1"/>
    <col min="12377" max="12377" width="10.85546875" bestFit="1" customWidth="1"/>
    <col min="12378" max="12378" width="1.42578125" customWidth="1"/>
    <col min="12379" max="12379" width="12.140625" customWidth="1"/>
    <col min="12380" max="12380" width="10.7109375" customWidth="1"/>
    <col min="12381" max="12381" width="14.42578125" customWidth="1"/>
    <col min="12382" max="12382" width="1.7109375" customWidth="1"/>
    <col min="12383" max="12383" width="11.28515625" customWidth="1"/>
    <col min="12384" max="12384" width="11.5703125" bestFit="1" customWidth="1"/>
    <col min="12385" max="12385" width="12.42578125" customWidth="1"/>
    <col min="12386" max="12386" width="1.7109375" customWidth="1"/>
    <col min="12387" max="12387" width="13.42578125" customWidth="1"/>
    <col min="12388" max="12388" width="11.140625" customWidth="1"/>
    <col min="12389" max="12389" width="11.28515625" customWidth="1"/>
    <col min="12390" max="12390" width="1.5703125" customWidth="1"/>
    <col min="12391" max="12391" width="14.42578125" customWidth="1"/>
    <col min="12392" max="12392" width="10.85546875" customWidth="1"/>
    <col min="12393" max="12393" width="13.5703125" customWidth="1"/>
    <col min="12394" max="12394" width="1.42578125" customWidth="1"/>
    <col min="12395" max="12395" width="15.28515625" customWidth="1"/>
    <col min="12396" max="12396" width="11.5703125" customWidth="1"/>
    <col min="12397" max="12397" width="14.28515625" customWidth="1"/>
    <col min="12398" max="12398" width="1.5703125" customWidth="1"/>
    <col min="12399" max="12399" width="16" customWidth="1"/>
    <col min="12400" max="12400" width="11.28515625" customWidth="1"/>
    <col min="12401" max="12401" width="13.5703125" customWidth="1"/>
    <col min="12402" max="12402" width="1.5703125" customWidth="1"/>
    <col min="12403" max="12403" width="15.140625" customWidth="1"/>
    <col min="12404" max="12404" width="11.7109375" customWidth="1"/>
    <col min="12405" max="12405" width="13.7109375" customWidth="1"/>
    <col min="12406" max="12406" width="1.42578125" customWidth="1"/>
    <col min="12407" max="12409" width="12.28515625" bestFit="1" customWidth="1"/>
    <col min="12410" max="12410" width="1.28515625" customWidth="1"/>
    <col min="12411" max="12413" width="12.28515625" bestFit="1" customWidth="1"/>
    <col min="12414" max="12414" width="1.42578125" customWidth="1"/>
    <col min="12415" max="12415" width="11.7109375" customWidth="1"/>
    <col min="12416" max="12416" width="12.28515625" bestFit="1" customWidth="1"/>
    <col min="12417" max="12417" width="11.7109375" customWidth="1"/>
    <col min="12418" max="12418" width="1.42578125" customWidth="1"/>
    <col min="12545" max="12545" width="18.42578125" customWidth="1"/>
    <col min="12546" max="12546" width="1.28515625" customWidth="1"/>
    <col min="12547" max="12547" width="13.7109375" customWidth="1"/>
    <col min="12548" max="12548" width="11.28515625" bestFit="1" customWidth="1"/>
    <col min="12549" max="12549" width="10.7109375" customWidth="1"/>
    <col min="12550" max="12557" width="0" hidden="1" customWidth="1"/>
    <col min="12558" max="12558" width="1.28515625" customWidth="1"/>
    <col min="12559" max="12562" width="0" hidden="1" customWidth="1"/>
    <col min="12563" max="12563" width="11" customWidth="1"/>
    <col min="12564" max="12564" width="10.42578125" customWidth="1"/>
    <col min="12565" max="12565" width="11.5703125" customWidth="1"/>
    <col min="12566" max="12589" width="0" hidden="1" customWidth="1"/>
    <col min="12590" max="12590" width="1.28515625" customWidth="1"/>
    <col min="12591" max="12591" width="11.7109375" customWidth="1"/>
    <col min="12592" max="12592" width="10.85546875" customWidth="1"/>
    <col min="12593" max="12593" width="11" customWidth="1"/>
    <col min="12594" max="12594" width="1.140625" customWidth="1"/>
    <col min="12595" max="12596" width="10.85546875" customWidth="1"/>
    <col min="12597" max="12597" width="11" customWidth="1"/>
    <col min="12598" max="12598" width="1.5703125" customWidth="1"/>
    <col min="12599" max="12599" width="10.7109375" customWidth="1"/>
    <col min="12600" max="12600" width="10.140625" customWidth="1"/>
    <col min="12601" max="12601" width="10.5703125" customWidth="1"/>
    <col min="12602" max="12602" width="2.140625" customWidth="1"/>
    <col min="12603" max="12603" width="10.85546875" customWidth="1"/>
    <col min="12604" max="12604" width="10.28515625" customWidth="1"/>
    <col min="12605" max="12605" width="10.42578125" customWidth="1"/>
    <col min="12606" max="12606" width="1.85546875" customWidth="1"/>
    <col min="12607" max="12618" width="0" hidden="1" customWidth="1"/>
    <col min="12619" max="12619" width="11.7109375" customWidth="1"/>
    <col min="12620" max="12620" width="10.140625" customWidth="1"/>
    <col min="12621" max="12621" width="11.7109375" customWidth="1"/>
    <col min="12622" max="12622" width="1.140625" customWidth="1"/>
    <col min="12623" max="12624" width="10.85546875" customWidth="1"/>
    <col min="12625" max="12625" width="10.7109375" customWidth="1"/>
    <col min="12626" max="12626" width="1.140625" customWidth="1"/>
    <col min="12627" max="12627" width="10" customWidth="1"/>
    <col min="12628" max="12628" width="9.85546875" customWidth="1"/>
    <col min="12629" max="12629" width="10.42578125" customWidth="1"/>
    <col min="12630" max="12630" width="1.140625" customWidth="1"/>
    <col min="12631" max="12631" width="10" customWidth="1"/>
    <col min="12632" max="12632" width="9.85546875" customWidth="1"/>
    <col min="12633" max="12633" width="10.85546875" bestFit="1" customWidth="1"/>
    <col min="12634" max="12634" width="1.42578125" customWidth="1"/>
    <col min="12635" max="12635" width="12.140625" customWidth="1"/>
    <col min="12636" max="12636" width="10.7109375" customWidth="1"/>
    <col min="12637" max="12637" width="14.42578125" customWidth="1"/>
    <col min="12638" max="12638" width="1.7109375" customWidth="1"/>
    <col min="12639" max="12639" width="11.28515625" customWidth="1"/>
    <col min="12640" max="12640" width="11.5703125" bestFit="1" customWidth="1"/>
    <col min="12641" max="12641" width="12.42578125" customWidth="1"/>
    <col min="12642" max="12642" width="1.7109375" customWidth="1"/>
    <col min="12643" max="12643" width="13.42578125" customWidth="1"/>
    <col min="12644" max="12644" width="11.140625" customWidth="1"/>
    <col min="12645" max="12645" width="11.28515625" customWidth="1"/>
    <col min="12646" max="12646" width="1.5703125" customWidth="1"/>
    <col min="12647" max="12647" width="14.42578125" customWidth="1"/>
    <col min="12648" max="12648" width="10.85546875" customWidth="1"/>
    <col min="12649" max="12649" width="13.5703125" customWidth="1"/>
    <col min="12650" max="12650" width="1.42578125" customWidth="1"/>
    <col min="12651" max="12651" width="15.28515625" customWidth="1"/>
    <col min="12652" max="12652" width="11.5703125" customWidth="1"/>
    <col min="12653" max="12653" width="14.28515625" customWidth="1"/>
    <col min="12654" max="12654" width="1.5703125" customWidth="1"/>
    <col min="12655" max="12655" width="16" customWidth="1"/>
    <col min="12656" max="12656" width="11.28515625" customWidth="1"/>
    <col min="12657" max="12657" width="13.5703125" customWidth="1"/>
    <col min="12658" max="12658" width="1.5703125" customWidth="1"/>
    <col min="12659" max="12659" width="15.140625" customWidth="1"/>
    <col min="12660" max="12660" width="11.7109375" customWidth="1"/>
    <col min="12661" max="12661" width="13.7109375" customWidth="1"/>
    <col min="12662" max="12662" width="1.42578125" customWidth="1"/>
    <col min="12663" max="12665" width="12.28515625" bestFit="1" customWidth="1"/>
    <col min="12666" max="12666" width="1.28515625" customWidth="1"/>
    <col min="12667" max="12669" width="12.28515625" bestFit="1" customWidth="1"/>
    <col min="12670" max="12670" width="1.42578125" customWidth="1"/>
    <col min="12671" max="12671" width="11.7109375" customWidth="1"/>
    <col min="12672" max="12672" width="12.28515625" bestFit="1" customWidth="1"/>
    <col min="12673" max="12673" width="11.7109375" customWidth="1"/>
    <col min="12674" max="12674" width="1.42578125" customWidth="1"/>
    <col min="12801" max="12801" width="18.42578125" customWidth="1"/>
    <col min="12802" max="12802" width="1.28515625" customWidth="1"/>
    <col min="12803" max="12803" width="13.7109375" customWidth="1"/>
    <col min="12804" max="12804" width="11.28515625" bestFit="1" customWidth="1"/>
    <col min="12805" max="12805" width="10.7109375" customWidth="1"/>
    <col min="12806" max="12813" width="0" hidden="1" customWidth="1"/>
    <col min="12814" max="12814" width="1.28515625" customWidth="1"/>
    <col min="12815" max="12818" width="0" hidden="1" customWidth="1"/>
    <col min="12819" max="12819" width="11" customWidth="1"/>
    <col min="12820" max="12820" width="10.42578125" customWidth="1"/>
    <col min="12821" max="12821" width="11.5703125" customWidth="1"/>
    <col min="12822" max="12845" width="0" hidden="1" customWidth="1"/>
    <col min="12846" max="12846" width="1.28515625" customWidth="1"/>
    <col min="12847" max="12847" width="11.7109375" customWidth="1"/>
    <col min="12848" max="12848" width="10.85546875" customWidth="1"/>
    <col min="12849" max="12849" width="11" customWidth="1"/>
    <col min="12850" max="12850" width="1.140625" customWidth="1"/>
    <col min="12851" max="12852" width="10.85546875" customWidth="1"/>
    <col min="12853" max="12853" width="11" customWidth="1"/>
    <col min="12854" max="12854" width="1.5703125" customWidth="1"/>
    <col min="12855" max="12855" width="10.7109375" customWidth="1"/>
    <col min="12856" max="12856" width="10.140625" customWidth="1"/>
    <col min="12857" max="12857" width="10.5703125" customWidth="1"/>
    <col min="12858" max="12858" width="2.140625" customWidth="1"/>
    <col min="12859" max="12859" width="10.85546875" customWidth="1"/>
    <col min="12860" max="12860" width="10.28515625" customWidth="1"/>
    <col min="12861" max="12861" width="10.42578125" customWidth="1"/>
    <col min="12862" max="12862" width="1.85546875" customWidth="1"/>
    <col min="12863" max="12874" width="0" hidden="1" customWidth="1"/>
    <col min="12875" max="12875" width="11.7109375" customWidth="1"/>
    <col min="12876" max="12876" width="10.140625" customWidth="1"/>
    <col min="12877" max="12877" width="11.7109375" customWidth="1"/>
    <col min="12878" max="12878" width="1.140625" customWidth="1"/>
    <col min="12879" max="12880" width="10.85546875" customWidth="1"/>
    <col min="12881" max="12881" width="10.7109375" customWidth="1"/>
    <col min="12882" max="12882" width="1.140625" customWidth="1"/>
    <col min="12883" max="12883" width="10" customWidth="1"/>
    <col min="12884" max="12884" width="9.85546875" customWidth="1"/>
    <col min="12885" max="12885" width="10.42578125" customWidth="1"/>
    <col min="12886" max="12886" width="1.140625" customWidth="1"/>
    <col min="12887" max="12887" width="10" customWidth="1"/>
    <col min="12888" max="12888" width="9.85546875" customWidth="1"/>
    <col min="12889" max="12889" width="10.85546875" bestFit="1" customWidth="1"/>
    <col min="12890" max="12890" width="1.42578125" customWidth="1"/>
    <col min="12891" max="12891" width="12.140625" customWidth="1"/>
    <col min="12892" max="12892" width="10.7109375" customWidth="1"/>
    <col min="12893" max="12893" width="14.42578125" customWidth="1"/>
    <col min="12894" max="12894" width="1.7109375" customWidth="1"/>
    <col min="12895" max="12895" width="11.28515625" customWidth="1"/>
    <col min="12896" max="12896" width="11.5703125" bestFit="1" customWidth="1"/>
    <col min="12897" max="12897" width="12.42578125" customWidth="1"/>
    <col min="12898" max="12898" width="1.7109375" customWidth="1"/>
    <col min="12899" max="12899" width="13.42578125" customWidth="1"/>
    <col min="12900" max="12900" width="11.140625" customWidth="1"/>
    <col min="12901" max="12901" width="11.28515625" customWidth="1"/>
    <col min="12902" max="12902" width="1.5703125" customWidth="1"/>
    <col min="12903" max="12903" width="14.42578125" customWidth="1"/>
    <col min="12904" max="12904" width="10.85546875" customWidth="1"/>
    <col min="12905" max="12905" width="13.5703125" customWidth="1"/>
    <col min="12906" max="12906" width="1.42578125" customWidth="1"/>
    <col min="12907" max="12907" width="15.28515625" customWidth="1"/>
    <col min="12908" max="12908" width="11.5703125" customWidth="1"/>
    <col min="12909" max="12909" width="14.28515625" customWidth="1"/>
    <col min="12910" max="12910" width="1.5703125" customWidth="1"/>
    <col min="12911" max="12911" width="16" customWidth="1"/>
    <col min="12912" max="12912" width="11.28515625" customWidth="1"/>
    <col min="12913" max="12913" width="13.5703125" customWidth="1"/>
    <col min="12914" max="12914" width="1.5703125" customWidth="1"/>
    <col min="12915" max="12915" width="15.140625" customWidth="1"/>
    <col min="12916" max="12916" width="11.7109375" customWidth="1"/>
    <col min="12917" max="12917" width="13.7109375" customWidth="1"/>
    <col min="12918" max="12918" width="1.42578125" customWidth="1"/>
    <col min="12919" max="12921" width="12.28515625" bestFit="1" customWidth="1"/>
    <col min="12922" max="12922" width="1.28515625" customWidth="1"/>
    <col min="12923" max="12925" width="12.28515625" bestFit="1" customWidth="1"/>
    <col min="12926" max="12926" width="1.42578125" customWidth="1"/>
    <col min="12927" max="12927" width="11.7109375" customWidth="1"/>
    <col min="12928" max="12928" width="12.28515625" bestFit="1" customWidth="1"/>
    <col min="12929" max="12929" width="11.7109375" customWidth="1"/>
    <col min="12930" max="12930" width="1.42578125" customWidth="1"/>
    <col min="13057" max="13057" width="18.42578125" customWidth="1"/>
    <col min="13058" max="13058" width="1.28515625" customWidth="1"/>
    <col min="13059" max="13059" width="13.7109375" customWidth="1"/>
    <col min="13060" max="13060" width="11.28515625" bestFit="1" customWidth="1"/>
    <col min="13061" max="13061" width="10.7109375" customWidth="1"/>
    <col min="13062" max="13069" width="0" hidden="1" customWidth="1"/>
    <col min="13070" max="13070" width="1.28515625" customWidth="1"/>
    <col min="13071" max="13074" width="0" hidden="1" customWidth="1"/>
    <col min="13075" max="13075" width="11" customWidth="1"/>
    <col min="13076" max="13076" width="10.42578125" customWidth="1"/>
    <col min="13077" max="13077" width="11.5703125" customWidth="1"/>
    <col min="13078" max="13101" width="0" hidden="1" customWidth="1"/>
    <col min="13102" max="13102" width="1.28515625" customWidth="1"/>
    <col min="13103" max="13103" width="11.7109375" customWidth="1"/>
    <col min="13104" max="13104" width="10.85546875" customWidth="1"/>
    <col min="13105" max="13105" width="11" customWidth="1"/>
    <col min="13106" max="13106" width="1.140625" customWidth="1"/>
    <col min="13107" max="13108" width="10.85546875" customWidth="1"/>
    <col min="13109" max="13109" width="11" customWidth="1"/>
    <col min="13110" max="13110" width="1.5703125" customWidth="1"/>
    <col min="13111" max="13111" width="10.7109375" customWidth="1"/>
    <col min="13112" max="13112" width="10.140625" customWidth="1"/>
    <col min="13113" max="13113" width="10.5703125" customWidth="1"/>
    <col min="13114" max="13114" width="2.140625" customWidth="1"/>
    <col min="13115" max="13115" width="10.85546875" customWidth="1"/>
    <col min="13116" max="13116" width="10.28515625" customWidth="1"/>
    <col min="13117" max="13117" width="10.42578125" customWidth="1"/>
    <col min="13118" max="13118" width="1.85546875" customWidth="1"/>
    <col min="13119" max="13130" width="0" hidden="1" customWidth="1"/>
    <col min="13131" max="13131" width="11.7109375" customWidth="1"/>
    <col min="13132" max="13132" width="10.140625" customWidth="1"/>
    <col min="13133" max="13133" width="11.7109375" customWidth="1"/>
    <col min="13134" max="13134" width="1.140625" customWidth="1"/>
    <col min="13135" max="13136" width="10.85546875" customWidth="1"/>
    <col min="13137" max="13137" width="10.7109375" customWidth="1"/>
    <col min="13138" max="13138" width="1.140625" customWidth="1"/>
    <col min="13139" max="13139" width="10" customWidth="1"/>
    <col min="13140" max="13140" width="9.85546875" customWidth="1"/>
    <col min="13141" max="13141" width="10.42578125" customWidth="1"/>
    <col min="13142" max="13142" width="1.140625" customWidth="1"/>
    <col min="13143" max="13143" width="10" customWidth="1"/>
    <col min="13144" max="13144" width="9.85546875" customWidth="1"/>
    <col min="13145" max="13145" width="10.85546875" bestFit="1" customWidth="1"/>
    <col min="13146" max="13146" width="1.42578125" customWidth="1"/>
    <col min="13147" max="13147" width="12.140625" customWidth="1"/>
    <col min="13148" max="13148" width="10.7109375" customWidth="1"/>
    <col min="13149" max="13149" width="14.42578125" customWidth="1"/>
    <col min="13150" max="13150" width="1.7109375" customWidth="1"/>
    <col min="13151" max="13151" width="11.28515625" customWidth="1"/>
    <col min="13152" max="13152" width="11.5703125" bestFit="1" customWidth="1"/>
    <col min="13153" max="13153" width="12.42578125" customWidth="1"/>
    <col min="13154" max="13154" width="1.7109375" customWidth="1"/>
    <col min="13155" max="13155" width="13.42578125" customWidth="1"/>
    <col min="13156" max="13156" width="11.140625" customWidth="1"/>
    <col min="13157" max="13157" width="11.28515625" customWidth="1"/>
    <col min="13158" max="13158" width="1.5703125" customWidth="1"/>
    <col min="13159" max="13159" width="14.42578125" customWidth="1"/>
    <col min="13160" max="13160" width="10.85546875" customWidth="1"/>
    <col min="13161" max="13161" width="13.5703125" customWidth="1"/>
    <col min="13162" max="13162" width="1.42578125" customWidth="1"/>
    <col min="13163" max="13163" width="15.28515625" customWidth="1"/>
    <col min="13164" max="13164" width="11.5703125" customWidth="1"/>
    <col min="13165" max="13165" width="14.28515625" customWidth="1"/>
    <col min="13166" max="13166" width="1.5703125" customWidth="1"/>
    <col min="13167" max="13167" width="16" customWidth="1"/>
    <col min="13168" max="13168" width="11.28515625" customWidth="1"/>
    <col min="13169" max="13169" width="13.5703125" customWidth="1"/>
    <col min="13170" max="13170" width="1.5703125" customWidth="1"/>
    <col min="13171" max="13171" width="15.140625" customWidth="1"/>
    <col min="13172" max="13172" width="11.7109375" customWidth="1"/>
    <col min="13173" max="13173" width="13.7109375" customWidth="1"/>
    <col min="13174" max="13174" width="1.42578125" customWidth="1"/>
    <col min="13175" max="13177" width="12.28515625" bestFit="1" customWidth="1"/>
    <col min="13178" max="13178" width="1.28515625" customWidth="1"/>
    <col min="13179" max="13181" width="12.28515625" bestFit="1" customWidth="1"/>
    <col min="13182" max="13182" width="1.42578125" customWidth="1"/>
    <col min="13183" max="13183" width="11.7109375" customWidth="1"/>
    <col min="13184" max="13184" width="12.28515625" bestFit="1" customWidth="1"/>
    <col min="13185" max="13185" width="11.7109375" customWidth="1"/>
    <col min="13186" max="13186" width="1.42578125" customWidth="1"/>
    <col min="13313" max="13313" width="18.42578125" customWidth="1"/>
    <col min="13314" max="13314" width="1.28515625" customWidth="1"/>
    <col min="13315" max="13315" width="13.7109375" customWidth="1"/>
    <col min="13316" max="13316" width="11.28515625" bestFit="1" customWidth="1"/>
    <col min="13317" max="13317" width="10.7109375" customWidth="1"/>
    <col min="13318" max="13325" width="0" hidden="1" customWidth="1"/>
    <col min="13326" max="13326" width="1.28515625" customWidth="1"/>
    <col min="13327" max="13330" width="0" hidden="1" customWidth="1"/>
    <col min="13331" max="13331" width="11" customWidth="1"/>
    <col min="13332" max="13332" width="10.42578125" customWidth="1"/>
    <col min="13333" max="13333" width="11.5703125" customWidth="1"/>
    <col min="13334" max="13357" width="0" hidden="1" customWidth="1"/>
    <col min="13358" max="13358" width="1.28515625" customWidth="1"/>
    <col min="13359" max="13359" width="11.7109375" customWidth="1"/>
    <col min="13360" max="13360" width="10.85546875" customWidth="1"/>
    <col min="13361" max="13361" width="11" customWidth="1"/>
    <col min="13362" max="13362" width="1.140625" customWidth="1"/>
    <col min="13363" max="13364" width="10.85546875" customWidth="1"/>
    <col min="13365" max="13365" width="11" customWidth="1"/>
    <col min="13366" max="13366" width="1.5703125" customWidth="1"/>
    <col min="13367" max="13367" width="10.7109375" customWidth="1"/>
    <col min="13368" max="13368" width="10.140625" customWidth="1"/>
    <col min="13369" max="13369" width="10.5703125" customWidth="1"/>
    <col min="13370" max="13370" width="2.140625" customWidth="1"/>
    <col min="13371" max="13371" width="10.85546875" customWidth="1"/>
    <col min="13372" max="13372" width="10.28515625" customWidth="1"/>
    <col min="13373" max="13373" width="10.42578125" customWidth="1"/>
    <col min="13374" max="13374" width="1.85546875" customWidth="1"/>
    <col min="13375" max="13386" width="0" hidden="1" customWidth="1"/>
    <col min="13387" max="13387" width="11.7109375" customWidth="1"/>
    <col min="13388" max="13388" width="10.140625" customWidth="1"/>
    <col min="13389" max="13389" width="11.7109375" customWidth="1"/>
    <col min="13390" max="13390" width="1.140625" customWidth="1"/>
    <col min="13391" max="13392" width="10.85546875" customWidth="1"/>
    <col min="13393" max="13393" width="10.7109375" customWidth="1"/>
    <col min="13394" max="13394" width="1.140625" customWidth="1"/>
    <col min="13395" max="13395" width="10" customWidth="1"/>
    <col min="13396" max="13396" width="9.85546875" customWidth="1"/>
    <col min="13397" max="13397" width="10.42578125" customWidth="1"/>
    <col min="13398" max="13398" width="1.140625" customWidth="1"/>
    <col min="13399" max="13399" width="10" customWidth="1"/>
    <col min="13400" max="13400" width="9.85546875" customWidth="1"/>
    <col min="13401" max="13401" width="10.85546875" bestFit="1" customWidth="1"/>
    <col min="13402" max="13402" width="1.42578125" customWidth="1"/>
    <col min="13403" max="13403" width="12.140625" customWidth="1"/>
    <col min="13404" max="13404" width="10.7109375" customWidth="1"/>
    <col min="13405" max="13405" width="14.42578125" customWidth="1"/>
    <col min="13406" max="13406" width="1.7109375" customWidth="1"/>
    <col min="13407" max="13407" width="11.28515625" customWidth="1"/>
    <col min="13408" max="13408" width="11.5703125" bestFit="1" customWidth="1"/>
    <col min="13409" max="13409" width="12.42578125" customWidth="1"/>
    <col min="13410" max="13410" width="1.7109375" customWidth="1"/>
    <col min="13411" max="13411" width="13.42578125" customWidth="1"/>
    <col min="13412" max="13412" width="11.140625" customWidth="1"/>
    <col min="13413" max="13413" width="11.28515625" customWidth="1"/>
    <col min="13414" max="13414" width="1.5703125" customWidth="1"/>
    <col min="13415" max="13415" width="14.42578125" customWidth="1"/>
    <col min="13416" max="13416" width="10.85546875" customWidth="1"/>
    <col min="13417" max="13417" width="13.5703125" customWidth="1"/>
    <col min="13418" max="13418" width="1.42578125" customWidth="1"/>
    <col min="13419" max="13419" width="15.28515625" customWidth="1"/>
    <col min="13420" max="13420" width="11.5703125" customWidth="1"/>
    <col min="13421" max="13421" width="14.28515625" customWidth="1"/>
    <col min="13422" max="13422" width="1.5703125" customWidth="1"/>
    <col min="13423" max="13423" width="16" customWidth="1"/>
    <col min="13424" max="13424" width="11.28515625" customWidth="1"/>
    <col min="13425" max="13425" width="13.5703125" customWidth="1"/>
    <col min="13426" max="13426" width="1.5703125" customWidth="1"/>
    <col min="13427" max="13427" width="15.140625" customWidth="1"/>
    <col min="13428" max="13428" width="11.7109375" customWidth="1"/>
    <col min="13429" max="13429" width="13.7109375" customWidth="1"/>
    <col min="13430" max="13430" width="1.42578125" customWidth="1"/>
    <col min="13431" max="13433" width="12.28515625" bestFit="1" customWidth="1"/>
    <col min="13434" max="13434" width="1.28515625" customWidth="1"/>
    <col min="13435" max="13437" width="12.28515625" bestFit="1" customWidth="1"/>
    <col min="13438" max="13438" width="1.42578125" customWidth="1"/>
    <col min="13439" max="13439" width="11.7109375" customWidth="1"/>
    <col min="13440" max="13440" width="12.28515625" bestFit="1" customWidth="1"/>
    <col min="13441" max="13441" width="11.7109375" customWidth="1"/>
    <col min="13442" max="13442" width="1.42578125" customWidth="1"/>
    <col min="13569" max="13569" width="18.42578125" customWidth="1"/>
    <col min="13570" max="13570" width="1.28515625" customWidth="1"/>
    <col min="13571" max="13571" width="13.7109375" customWidth="1"/>
    <col min="13572" max="13572" width="11.28515625" bestFit="1" customWidth="1"/>
    <col min="13573" max="13573" width="10.7109375" customWidth="1"/>
    <col min="13574" max="13581" width="0" hidden="1" customWidth="1"/>
    <col min="13582" max="13582" width="1.28515625" customWidth="1"/>
    <col min="13583" max="13586" width="0" hidden="1" customWidth="1"/>
    <col min="13587" max="13587" width="11" customWidth="1"/>
    <col min="13588" max="13588" width="10.42578125" customWidth="1"/>
    <col min="13589" max="13589" width="11.5703125" customWidth="1"/>
    <col min="13590" max="13613" width="0" hidden="1" customWidth="1"/>
    <col min="13614" max="13614" width="1.28515625" customWidth="1"/>
    <col min="13615" max="13615" width="11.7109375" customWidth="1"/>
    <col min="13616" max="13616" width="10.85546875" customWidth="1"/>
    <col min="13617" max="13617" width="11" customWidth="1"/>
    <col min="13618" max="13618" width="1.140625" customWidth="1"/>
    <col min="13619" max="13620" width="10.85546875" customWidth="1"/>
    <col min="13621" max="13621" width="11" customWidth="1"/>
    <col min="13622" max="13622" width="1.5703125" customWidth="1"/>
    <col min="13623" max="13623" width="10.7109375" customWidth="1"/>
    <col min="13624" max="13624" width="10.140625" customWidth="1"/>
    <col min="13625" max="13625" width="10.5703125" customWidth="1"/>
    <col min="13626" max="13626" width="2.140625" customWidth="1"/>
    <col min="13627" max="13627" width="10.85546875" customWidth="1"/>
    <col min="13628" max="13628" width="10.28515625" customWidth="1"/>
    <col min="13629" max="13629" width="10.42578125" customWidth="1"/>
    <col min="13630" max="13630" width="1.85546875" customWidth="1"/>
    <col min="13631" max="13642" width="0" hidden="1" customWidth="1"/>
    <col min="13643" max="13643" width="11.7109375" customWidth="1"/>
    <col min="13644" max="13644" width="10.140625" customWidth="1"/>
    <col min="13645" max="13645" width="11.7109375" customWidth="1"/>
    <col min="13646" max="13646" width="1.140625" customWidth="1"/>
    <col min="13647" max="13648" width="10.85546875" customWidth="1"/>
    <col min="13649" max="13649" width="10.7109375" customWidth="1"/>
    <col min="13650" max="13650" width="1.140625" customWidth="1"/>
    <col min="13651" max="13651" width="10" customWidth="1"/>
    <col min="13652" max="13652" width="9.85546875" customWidth="1"/>
    <col min="13653" max="13653" width="10.42578125" customWidth="1"/>
    <col min="13654" max="13654" width="1.140625" customWidth="1"/>
    <col min="13655" max="13655" width="10" customWidth="1"/>
    <col min="13656" max="13656" width="9.85546875" customWidth="1"/>
    <col min="13657" max="13657" width="10.85546875" bestFit="1" customWidth="1"/>
    <col min="13658" max="13658" width="1.42578125" customWidth="1"/>
    <col min="13659" max="13659" width="12.140625" customWidth="1"/>
    <col min="13660" max="13660" width="10.7109375" customWidth="1"/>
    <col min="13661" max="13661" width="14.42578125" customWidth="1"/>
    <col min="13662" max="13662" width="1.7109375" customWidth="1"/>
    <col min="13663" max="13663" width="11.28515625" customWidth="1"/>
    <col min="13664" max="13664" width="11.5703125" bestFit="1" customWidth="1"/>
    <col min="13665" max="13665" width="12.42578125" customWidth="1"/>
    <col min="13666" max="13666" width="1.7109375" customWidth="1"/>
    <col min="13667" max="13667" width="13.42578125" customWidth="1"/>
    <col min="13668" max="13668" width="11.140625" customWidth="1"/>
    <col min="13669" max="13669" width="11.28515625" customWidth="1"/>
    <col min="13670" max="13670" width="1.5703125" customWidth="1"/>
    <col min="13671" max="13671" width="14.42578125" customWidth="1"/>
    <col min="13672" max="13672" width="10.85546875" customWidth="1"/>
    <col min="13673" max="13673" width="13.5703125" customWidth="1"/>
    <col min="13674" max="13674" width="1.42578125" customWidth="1"/>
    <col min="13675" max="13675" width="15.28515625" customWidth="1"/>
    <col min="13676" max="13676" width="11.5703125" customWidth="1"/>
    <col min="13677" max="13677" width="14.28515625" customWidth="1"/>
    <col min="13678" max="13678" width="1.5703125" customWidth="1"/>
    <col min="13679" max="13679" width="16" customWidth="1"/>
    <col min="13680" max="13680" width="11.28515625" customWidth="1"/>
    <col min="13681" max="13681" width="13.5703125" customWidth="1"/>
    <col min="13682" max="13682" width="1.5703125" customWidth="1"/>
    <col min="13683" max="13683" width="15.140625" customWidth="1"/>
    <col min="13684" max="13684" width="11.7109375" customWidth="1"/>
    <col min="13685" max="13685" width="13.7109375" customWidth="1"/>
    <col min="13686" max="13686" width="1.42578125" customWidth="1"/>
    <col min="13687" max="13689" width="12.28515625" bestFit="1" customWidth="1"/>
    <col min="13690" max="13690" width="1.28515625" customWidth="1"/>
    <col min="13691" max="13693" width="12.28515625" bestFit="1" customWidth="1"/>
    <col min="13694" max="13694" width="1.42578125" customWidth="1"/>
    <col min="13695" max="13695" width="11.7109375" customWidth="1"/>
    <col min="13696" max="13696" width="12.28515625" bestFit="1" customWidth="1"/>
    <col min="13697" max="13697" width="11.7109375" customWidth="1"/>
    <col min="13698" max="13698" width="1.42578125" customWidth="1"/>
    <col min="13825" max="13825" width="18.42578125" customWidth="1"/>
    <col min="13826" max="13826" width="1.28515625" customWidth="1"/>
    <col min="13827" max="13827" width="13.7109375" customWidth="1"/>
    <col min="13828" max="13828" width="11.28515625" bestFit="1" customWidth="1"/>
    <col min="13829" max="13829" width="10.7109375" customWidth="1"/>
    <col min="13830" max="13837" width="0" hidden="1" customWidth="1"/>
    <col min="13838" max="13838" width="1.28515625" customWidth="1"/>
    <col min="13839" max="13842" width="0" hidden="1" customWidth="1"/>
    <col min="13843" max="13843" width="11" customWidth="1"/>
    <col min="13844" max="13844" width="10.42578125" customWidth="1"/>
    <col min="13845" max="13845" width="11.5703125" customWidth="1"/>
    <col min="13846" max="13869" width="0" hidden="1" customWidth="1"/>
    <col min="13870" max="13870" width="1.28515625" customWidth="1"/>
    <col min="13871" max="13871" width="11.7109375" customWidth="1"/>
    <col min="13872" max="13872" width="10.85546875" customWidth="1"/>
    <col min="13873" max="13873" width="11" customWidth="1"/>
    <col min="13874" max="13874" width="1.140625" customWidth="1"/>
    <col min="13875" max="13876" width="10.85546875" customWidth="1"/>
    <col min="13877" max="13877" width="11" customWidth="1"/>
    <col min="13878" max="13878" width="1.5703125" customWidth="1"/>
    <col min="13879" max="13879" width="10.7109375" customWidth="1"/>
    <col min="13880" max="13880" width="10.140625" customWidth="1"/>
    <col min="13881" max="13881" width="10.5703125" customWidth="1"/>
    <col min="13882" max="13882" width="2.140625" customWidth="1"/>
    <col min="13883" max="13883" width="10.85546875" customWidth="1"/>
    <col min="13884" max="13884" width="10.28515625" customWidth="1"/>
    <col min="13885" max="13885" width="10.42578125" customWidth="1"/>
    <col min="13886" max="13886" width="1.85546875" customWidth="1"/>
    <col min="13887" max="13898" width="0" hidden="1" customWidth="1"/>
    <col min="13899" max="13899" width="11.7109375" customWidth="1"/>
    <col min="13900" max="13900" width="10.140625" customWidth="1"/>
    <col min="13901" max="13901" width="11.7109375" customWidth="1"/>
    <col min="13902" max="13902" width="1.140625" customWidth="1"/>
    <col min="13903" max="13904" width="10.85546875" customWidth="1"/>
    <col min="13905" max="13905" width="10.7109375" customWidth="1"/>
    <col min="13906" max="13906" width="1.140625" customWidth="1"/>
    <col min="13907" max="13907" width="10" customWidth="1"/>
    <col min="13908" max="13908" width="9.85546875" customWidth="1"/>
    <col min="13909" max="13909" width="10.42578125" customWidth="1"/>
    <col min="13910" max="13910" width="1.140625" customWidth="1"/>
    <col min="13911" max="13911" width="10" customWidth="1"/>
    <col min="13912" max="13912" width="9.85546875" customWidth="1"/>
    <col min="13913" max="13913" width="10.85546875" bestFit="1" customWidth="1"/>
    <col min="13914" max="13914" width="1.42578125" customWidth="1"/>
    <col min="13915" max="13915" width="12.140625" customWidth="1"/>
    <col min="13916" max="13916" width="10.7109375" customWidth="1"/>
    <col min="13917" max="13917" width="14.42578125" customWidth="1"/>
    <col min="13918" max="13918" width="1.7109375" customWidth="1"/>
    <col min="13919" max="13919" width="11.28515625" customWidth="1"/>
    <col min="13920" max="13920" width="11.5703125" bestFit="1" customWidth="1"/>
    <col min="13921" max="13921" width="12.42578125" customWidth="1"/>
    <col min="13922" max="13922" width="1.7109375" customWidth="1"/>
    <col min="13923" max="13923" width="13.42578125" customWidth="1"/>
    <col min="13924" max="13924" width="11.140625" customWidth="1"/>
    <col min="13925" max="13925" width="11.28515625" customWidth="1"/>
    <col min="13926" max="13926" width="1.5703125" customWidth="1"/>
    <col min="13927" max="13927" width="14.42578125" customWidth="1"/>
    <col min="13928" max="13928" width="10.85546875" customWidth="1"/>
    <col min="13929" max="13929" width="13.5703125" customWidth="1"/>
    <col min="13930" max="13930" width="1.42578125" customWidth="1"/>
    <col min="13931" max="13931" width="15.28515625" customWidth="1"/>
    <col min="13932" max="13932" width="11.5703125" customWidth="1"/>
    <col min="13933" max="13933" width="14.28515625" customWidth="1"/>
    <col min="13934" max="13934" width="1.5703125" customWidth="1"/>
    <col min="13935" max="13935" width="16" customWidth="1"/>
    <col min="13936" max="13936" width="11.28515625" customWidth="1"/>
    <col min="13937" max="13937" width="13.5703125" customWidth="1"/>
    <col min="13938" max="13938" width="1.5703125" customWidth="1"/>
    <col min="13939" max="13939" width="15.140625" customWidth="1"/>
    <col min="13940" max="13940" width="11.7109375" customWidth="1"/>
    <col min="13941" max="13941" width="13.7109375" customWidth="1"/>
    <col min="13942" max="13942" width="1.42578125" customWidth="1"/>
    <col min="13943" max="13945" width="12.28515625" bestFit="1" customWidth="1"/>
    <col min="13946" max="13946" width="1.28515625" customWidth="1"/>
    <col min="13947" max="13949" width="12.28515625" bestFit="1" customWidth="1"/>
    <col min="13950" max="13950" width="1.42578125" customWidth="1"/>
    <col min="13951" max="13951" width="11.7109375" customWidth="1"/>
    <col min="13952" max="13952" width="12.28515625" bestFit="1" customWidth="1"/>
    <col min="13953" max="13953" width="11.7109375" customWidth="1"/>
    <col min="13954" max="13954" width="1.42578125" customWidth="1"/>
    <col min="14081" max="14081" width="18.42578125" customWidth="1"/>
    <col min="14082" max="14082" width="1.28515625" customWidth="1"/>
    <col min="14083" max="14083" width="13.7109375" customWidth="1"/>
    <col min="14084" max="14084" width="11.28515625" bestFit="1" customWidth="1"/>
    <col min="14085" max="14085" width="10.7109375" customWidth="1"/>
    <col min="14086" max="14093" width="0" hidden="1" customWidth="1"/>
    <col min="14094" max="14094" width="1.28515625" customWidth="1"/>
    <col min="14095" max="14098" width="0" hidden="1" customWidth="1"/>
    <col min="14099" max="14099" width="11" customWidth="1"/>
    <col min="14100" max="14100" width="10.42578125" customWidth="1"/>
    <col min="14101" max="14101" width="11.5703125" customWidth="1"/>
    <col min="14102" max="14125" width="0" hidden="1" customWidth="1"/>
    <col min="14126" max="14126" width="1.28515625" customWidth="1"/>
    <col min="14127" max="14127" width="11.7109375" customWidth="1"/>
    <col min="14128" max="14128" width="10.85546875" customWidth="1"/>
    <col min="14129" max="14129" width="11" customWidth="1"/>
    <col min="14130" max="14130" width="1.140625" customWidth="1"/>
    <col min="14131" max="14132" width="10.85546875" customWidth="1"/>
    <col min="14133" max="14133" width="11" customWidth="1"/>
    <col min="14134" max="14134" width="1.5703125" customWidth="1"/>
    <col min="14135" max="14135" width="10.7109375" customWidth="1"/>
    <col min="14136" max="14136" width="10.140625" customWidth="1"/>
    <col min="14137" max="14137" width="10.5703125" customWidth="1"/>
    <col min="14138" max="14138" width="2.140625" customWidth="1"/>
    <col min="14139" max="14139" width="10.85546875" customWidth="1"/>
    <col min="14140" max="14140" width="10.28515625" customWidth="1"/>
    <col min="14141" max="14141" width="10.42578125" customWidth="1"/>
    <col min="14142" max="14142" width="1.85546875" customWidth="1"/>
    <col min="14143" max="14154" width="0" hidden="1" customWidth="1"/>
    <col min="14155" max="14155" width="11.7109375" customWidth="1"/>
    <col min="14156" max="14156" width="10.140625" customWidth="1"/>
    <col min="14157" max="14157" width="11.7109375" customWidth="1"/>
    <col min="14158" max="14158" width="1.140625" customWidth="1"/>
    <col min="14159" max="14160" width="10.85546875" customWidth="1"/>
    <col min="14161" max="14161" width="10.7109375" customWidth="1"/>
    <col min="14162" max="14162" width="1.140625" customWidth="1"/>
    <col min="14163" max="14163" width="10" customWidth="1"/>
    <col min="14164" max="14164" width="9.85546875" customWidth="1"/>
    <col min="14165" max="14165" width="10.42578125" customWidth="1"/>
    <col min="14166" max="14166" width="1.140625" customWidth="1"/>
    <col min="14167" max="14167" width="10" customWidth="1"/>
    <col min="14168" max="14168" width="9.85546875" customWidth="1"/>
    <col min="14169" max="14169" width="10.85546875" bestFit="1" customWidth="1"/>
    <col min="14170" max="14170" width="1.42578125" customWidth="1"/>
    <col min="14171" max="14171" width="12.140625" customWidth="1"/>
    <col min="14172" max="14172" width="10.7109375" customWidth="1"/>
    <col min="14173" max="14173" width="14.42578125" customWidth="1"/>
    <col min="14174" max="14174" width="1.7109375" customWidth="1"/>
    <col min="14175" max="14175" width="11.28515625" customWidth="1"/>
    <col min="14176" max="14176" width="11.5703125" bestFit="1" customWidth="1"/>
    <col min="14177" max="14177" width="12.42578125" customWidth="1"/>
    <col min="14178" max="14178" width="1.7109375" customWidth="1"/>
    <col min="14179" max="14179" width="13.42578125" customWidth="1"/>
    <col min="14180" max="14180" width="11.140625" customWidth="1"/>
    <col min="14181" max="14181" width="11.28515625" customWidth="1"/>
    <col min="14182" max="14182" width="1.5703125" customWidth="1"/>
    <col min="14183" max="14183" width="14.42578125" customWidth="1"/>
    <col min="14184" max="14184" width="10.85546875" customWidth="1"/>
    <col min="14185" max="14185" width="13.5703125" customWidth="1"/>
    <col min="14186" max="14186" width="1.42578125" customWidth="1"/>
    <col min="14187" max="14187" width="15.28515625" customWidth="1"/>
    <col min="14188" max="14188" width="11.5703125" customWidth="1"/>
    <col min="14189" max="14189" width="14.28515625" customWidth="1"/>
    <col min="14190" max="14190" width="1.5703125" customWidth="1"/>
    <col min="14191" max="14191" width="16" customWidth="1"/>
    <col min="14192" max="14192" width="11.28515625" customWidth="1"/>
    <col min="14193" max="14193" width="13.5703125" customWidth="1"/>
    <col min="14194" max="14194" width="1.5703125" customWidth="1"/>
    <col min="14195" max="14195" width="15.140625" customWidth="1"/>
    <col min="14196" max="14196" width="11.7109375" customWidth="1"/>
    <col min="14197" max="14197" width="13.7109375" customWidth="1"/>
    <col min="14198" max="14198" width="1.42578125" customWidth="1"/>
    <col min="14199" max="14201" width="12.28515625" bestFit="1" customWidth="1"/>
    <col min="14202" max="14202" width="1.28515625" customWidth="1"/>
    <col min="14203" max="14205" width="12.28515625" bestFit="1" customWidth="1"/>
    <col min="14206" max="14206" width="1.42578125" customWidth="1"/>
    <col min="14207" max="14207" width="11.7109375" customWidth="1"/>
    <col min="14208" max="14208" width="12.28515625" bestFit="1" customWidth="1"/>
    <col min="14209" max="14209" width="11.7109375" customWidth="1"/>
    <col min="14210" max="14210" width="1.42578125" customWidth="1"/>
    <col min="14337" max="14337" width="18.42578125" customWidth="1"/>
    <col min="14338" max="14338" width="1.28515625" customWidth="1"/>
    <col min="14339" max="14339" width="13.7109375" customWidth="1"/>
    <col min="14340" max="14340" width="11.28515625" bestFit="1" customWidth="1"/>
    <col min="14341" max="14341" width="10.7109375" customWidth="1"/>
    <col min="14342" max="14349" width="0" hidden="1" customWidth="1"/>
    <col min="14350" max="14350" width="1.28515625" customWidth="1"/>
    <col min="14351" max="14354" width="0" hidden="1" customWidth="1"/>
    <col min="14355" max="14355" width="11" customWidth="1"/>
    <col min="14356" max="14356" width="10.42578125" customWidth="1"/>
    <col min="14357" max="14357" width="11.5703125" customWidth="1"/>
    <col min="14358" max="14381" width="0" hidden="1" customWidth="1"/>
    <col min="14382" max="14382" width="1.28515625" customWidth="1"/>
    <col min="14383" max="14383" width="11.7109375" customWidth="1"/>
    <col min="14384" max="14384" width="10.85546875" customWidth="1"/>
    <col min="14385" max="14385" width="11" customWidth="1"/>
    <col min="14386" max="14386" width="1.140625" customWidth="1"/>
    <col min="14387" max="14388" width="10.85546875" customWidth="1"/>
    <col min="14389" max="14389" width="11" customWidth="1"/>
    <col min="14390" max="14390" width="1.5703125" customWidth="1"/>
    <col min="14391" max="14391" width="10.7109375" customWidth="1"/>
    <col min="14392" max="14392" width="10.140625" customWidth="1"/>
    <col min="14393" max="14393" width="10.5703125" customWidth="1"/>
    <col min="14394" max="14394" width="2.140625" customWidth="1"/>
    <col min="14395" max="14395" width="10.85546875" customWidth="1"/>
    <col min="14396" max="14396" width="10.28515625" customWidth="1"/>
    <col min="14397" max="14397" width="10.42578125" customWidth="1"/>
    <col min="14398" max="14398" width="1.85546875" customWidth="1"/>
    <col min="14399" max="14410" width="0" hidden="1" customWidth="1"/>
    <col min="14411" max="14411" width="11.7109375" customWidth="1"/>
    <col min="14412" max="14412" width="10.140625" customWidth="1"/>
    <col min="14413" max="14413" width="11.7109375" customWidth="1"/>
    <col min="14414" max="14414" width="1.140625" customWidth="1"/>
    <col min="14415" max="14416" width="10.85546875" customWidth="1"/>
    <col min="14417" max="14417" width="10.7109375" customWidth="1"/>
    <col min="14418" max="14418" width="1.140625" customWidth="1"/>
    <col min="14419" max="14419" width="10" customWidth="1"/>
    <col min="14420" max="14420" width="9.85546875" customWidth="1"/>
    <col min="14421" max="14421" width="10.42578125" customWidth="1"/>
    <col min="14422" max="14422" width="1.140625" customWidth="1"/>
    <col min="14423" max="14423" width="10" customWidth="1"/>
    <col min="14424" max="14424" width="9.85546875" customWidth="1"/>
    <col min="14425" max="14425" width="10.85546875" bestFit="1" customWidth="1"/>
    <col min="14426" max="14426" width="1.42578125" customWidth="1"/>
    <col min="14427" max="14427" width="12.140625" customWidth="1"/>
    <col min="14428" max="14428" width="10.7109375" customWidth="1"/>
    <col min="14429" max="14429" width="14.42578125" customWidth="1"/>
    <col min="14430" max="14430" width="1.7109375" customWidth="1"/>
    <col min="14431" max="14431" width="11.28515625" customWidth="1"/>
    <col min="14432" max="14432" width="11.5703125" bestFit="1" customWidth="1"/>
    <col min="14433" max="14433" width="12.42578125" customWidth="1"/>
    <col min="14434" max="14434" width="1.7109375" customWidth="1"/>
    <col min="14435" max="14435" width="13.42578125" customWidth="1"/>
    <col min="14436" max="14436" width="11.140625" customWidth="1"/>
    <col min="14437" max="14437" width="11.28515625" customWidth="1"/>
    <col min="14438" max="14438" width="1.5703125" customWidth="1"/>
    <col min="14439" max="14439" width="14.42578125" customWidth="1"/>
    <col min="14440" max="14440" width="10.85546875" customWidth="1"/>
    <col min="14441" max="14441" width="13.5703125" customWidth="1"/>
    <col min="14442" max="14442" width="1.42578125" customWidth="1"/>
    <col min="14443" max="14443" width="15.28515625" customWidth="1"/>
    <col min="14444" max="14444" width="11.5703125" customWidth="1"/>
    <col min="14445" max="14445" width="14.28515625" customWidth="1"/>
    <col min="14446" max="14446" width="1.5703125" customWidth="1"/>
    <col min="14447" max="14447" width="16" customWidth="1"/>
    <col min="14448" max="14448" width="11.28515625" customWidth="1"/>
    <col min="14449" max="14449" width="13.5703125" customWidth="1"/>
    <col min="14450" max="14450" width="1.5703125" customWidth="1"/>
    <col min="14451" max="14451" width="15.140625" customWidth="1"/>
    <col min="14452" max="14452" width="11.7109375" customWidth="1"/>
    <col min="14453" max="14453" width="13.7109375" customWidth="1"/>
    <col min="14454" max="14454" width="1.42578125" customWidth="1"/>
    <col min="14455" max="14457" width="12.28515625" bestFit="1" customWidth="1"/>
    <col min="14458" max="14458" width="1.28515625" customWidth="1"/>
    <col min="14459" max="14461" width="12.28515625" bestFit="1" customWidth="1"/>
    <col min="14462" max="14462" width="1.42578125" customWidth="1"/>
    <col min="14463" max="14463" width="11.7109375" customWidth="1"/>
    <col min="14464" max="14464" width="12.28515625" bestFit="1" customWidth="1"/>
    <col min="14465" max="14465" width="11.7109375" customWidth="1"/>
    <col min="14466" max="14466" width="1.42578125" customWidth="1"/>
    <col min="14593" max="14593" width="18.42578125" customWidth="1"/>
    <col min="14594" max="14594" width="1.28515625" customWidth="1"/>
    <col min="14595" max="14595" width="13.7109375" customWidth="1"/>
    <col min="14596" max="14596" width="11.28515625" bestFit="1" customWidth="1"/>
    <col min="14597" max="14597" width="10.7109375" customWidth="1"/>
    <col min="14598" max="14605" width="0" hidden="1" customWidth="1"/>
    <col min="14606" max="14606" width="1.28515625" customWidth="1"/>
    <col min="14607" max="14610" width="0" hidden="1" customWidth="1"/>
    <col min="14611" max="14611" width="11" customWidth="1"/>
    <col min="14612" max="14612" width="10.42578125" customWidth="1"/>
    <col min="14613" max="14613" width="11.5703125" customWidth="1"/>
    <col min="14614" max="14637" width="0" hidden="1" customWidth="1"/>
    <col min="14638" max="14638" width="1.28515625" customWidth="1"/>
    <col min="14639" max="14639" width="11.7109375" customWidth="1"/>
    <col min="14640" max="14640" width="10.85546875" customWidth="1"/>
    <col min="14641" max="14641" width="11" customWidth="1"/>
    <col min="14642" max="14642" width="1.140625" customWidth="1"/>
    <col min="14643" max="14644" width="10.85546875" customWidth="1"/>
    <col min="14645" max="14645" width="11" customWidth="1"/>
    <col min="14646" max="14646" width="1.5703125" customWidth="1"/>
    <col min="14647" max="14647" width="10.7109375" customWidth="1"/>
    <col min="14648" max="14648" width="10.140625" customWidth="1"/>
    <col min="14649" max="14649" width="10.5703125" customWidth="1"/>
    <col min="14650" max="14650" width="2.140625" customWidth="1"/>
    <col min="14651" max="14651" width="10.85546875" customWidth="1"/>
    <col min="14652" max="14652" width="10.28515625" customWidth="1"/>
    <col min="14653" max="14653" width="10.42578125" customWidth="1"/>
    <col min="14654" max="14654" width="1.85546875" customWidth="1"/>
    <col min="14655" max="14666" width="0" hidden="1" customWidth="1"/>
    <col min="14667" max="14667" width="11.7109375" customWidth="1"/>
    <col min="14668" max="14668" width="10.140625" customWidth="1"/>
    <col min="14669" max="14669" width="11.7109375" customWidth="1"/>
    <col min="14670" max="14670" width="1.140625" customWidth="1"/>
    <col min="14671" max="14672" width="10.85546875" customWidth="1"/>
    <col min="14673" max="14673" width="10.7109375" customWidth="1"/>
    <col min="14674" max="14674" width="1.140625" customWidth="1"/>
    <col min="14675" max="14675" width="10" customWidth="1"/>
    <col min="14676" max="14676" width="9.85546875" customWidth="1"/>
    <col min="14677" max="14677" width="10.42578125" customWidth="1"/>
    <col min="14678" max="14678" width="1.140625" customWidth="1"/>
    <col min="14679" max="14679" width="10" customWidth="1"/>
    <col min="14680" max="14680" width="9.85546875" customWidth="1"/>
    <col min="14681" max="14681" width="10.85546875" bestFit="1" customWidth="1"/>
    <col min="14682" max="14682" width="1.42578125" customWidth="1"/>
    <col min="14683" max="14683" width="12.140625" customWidth="1"/>
    <col min="14684" max="14684" width="10.7109375" customWidth="1"/>
    <col min="14685" max="14685" width="14.42578125" customWidth="1"/>
    <col min="14686" max="14686" width="1.7109375" customWidth="1"/>
    <col min="14687" max="14687" width="11.28515625" customWidth="1"/>
    <col min="14688" max="14688" width="11.5703125" bestFit="1" customWidth="1"/>
    <col min="14689" max="14689" width="12.42578125" customWidth="1"/>
    <col min="14690" max="14690" width="1.7109375" customWidth="1"/>
    <col min="14691" max="14691" width="13.42578125" customWidth="1"/>
    <col min="14692" max="14692" width="11.140625" customWidth="1"/>
    <col min="14693" max="14693" width="11.28515625" customWidth="1"/>
    <col min="14694" max="14694" width="1.5703125" customWidth="1"/>
    <col min="14695" max="14695" width="14.42578125" customWidth="1"/>
    <col min="14696" max="14696" width="10.85546875" customWidth="1"/>
    <col min="14697" max="14697" width="13.5703125" customWidth="1"/>
    <col min="14698" max="14698" width="1.42578125" customWidth="1"/>
    <col min="14699" max="14699" width="15.28515625" customWidth="1"/>
    <col min="14700" max="14700" width="11.5703125" customWidth="1"/>
    <col min="14701" max="14701" width="14.28515625" customWidth="1"/>
    <col min="14702" max="14702" width="1.5703125" customWidth="1"/>
    <col min="14703" max="14703" width="16" customWidth="1"/>
    <col min="14704" max="14704" width="11.28515625" customWidth="1"/>
    <col min="14705" max="14705" width="13.5703125" customWidth="1"/>
    <col min="14706" max="14706" width="1.5703125" customWidth="1"/>
    <col min="14707" max="14707" width="15.140625" customWidth="1"/>
    <col min="14708" max="14708" width="11.7109375" customWidth="1"/>
    <col min="14709" max="14709" width="13.7109375" customWidth="1"/>
    <col min="14710" max="14710" width="1.42578125" customWidth="1"/>
    <col min="14711" max="14713" width="12.28515625" bestFit="1" customWidth="1"/>
    <col min="14714" max="14714" width="1.28515625" customWidth="1"/>
    <col min="14715" max="14717" width="12.28515625" bestFit="1" customWidth="1"/>
    <col min="14718" max="14718" width="1.42578125" customWidth="1"/>
    <col min="14719" max="14719" width="11.7109375" customWidth="1"/>
    <col min="14720" max="14720" width="12.28515625" bestFit="1" customWidth="1"/>
    <col min="14721" max="14721" width="11.7109375" customWidth="1"/>
    <col min="14722" max="14722" width="1.42578125" customWidth="1"/>
    <col min="14849" max="14849" width="18.42578125" customWidth="1"/>
    <col min="14850" max="14850" width="1.28515625" customWidth="1"/>
    <col min="14851" max="14851" width="13.7109375" customWidth="1"/>
    <col min="14852" max="14852" width="11.28515625" bestFit="1" customWidth="1"/>
    <col min="14853" max="14853" width="10.7109375" customWidth="1"/>
    <col min="14854" max="14861" width="0" hidden="1" customWidth="1"/>
    <col min="14862" max="14862" width="1.28515625" customWidth="1"/>
    <col min="14863" max="14866" width="0" hidden="1" customWidth="1"/>
    <col min="14867" max="14867" width="11" customWidth="1"/>
    <col min="14868" max="14868" width="10.42578125" customWidth="1"/>
    <col min="14869" max="14869" width="11.5703125" customWidth="1"/>
    <col min="14870" max="14893" width="0" hidden="1" customWidth="1"/>
    <col min="14894" max="14894" width="1.28515625" customWidth="1"/>
    <col min="14895" max="14895" width="11.7109375" customWidth="1"/>
    <col min="14896" max="14896" width="10.85546875" customWidth="1"/>
    <col min="14897" max="14897" width="11" customWidth="1"/>
    <col min="14898" max="14898" width="1.140625" customWidth="1"/>
    <col min="14899" max="14900" width="10.85546875" customWidth="1"/>
    <col min="14901" max="14901" width="11" customWidth="1"/>
    <col min="14902" max="14902" width="1.5703125" customWidth="1"/>
    <col min="14903" max="14903" width="10.7109375" customWidth="1"/>
    <col min="14904" max="14904" width="10.140625" customWidth="1"/>
    <col min="14905" max="14905" width="10.5703125" customWidth="1"/>
    <col min="14906" max="14906" width="2.140625" customWidth="1"/>
    <col min="14907" max="14907" width="10.85546875" customWidth="1"/>
    <col min="14908" max="14908" width="10.28515625" customWidth="1"/>
    <col min="14909" max="14909" width="10.42578125" customWidth="1"/>
    <col min="14910" max="14910" width="1.85546875" customWidth="1"/>
    <col min="14911" max="14922" width="0" hidden="1" customWidth="1"/>
    <col min="14923" max="14923" width="11.7109375" customWidth="1"/>
    <col min="14924" max="14924" width="10.140625" customWidth="1"/>
    <col min="14925" max="14925" width="11.7109375" customWidth="1"/>
    <col min="14926" max="14926" width="1.140625" customWidth="1"/>
    <col min="14927" max="14928" width="10.85546875" customWidth="1"/>
    <col min="14929" max="14929" width="10.7109375" customWidth="1"/>
    <col min="14930" max="14930" width="1.140625" customWidth="1"/>
    <col min="14931" max="14931" width="10" customWidth="1"/>
    <col min="14932" max="14932" width="9.85546875" customWidth="1"/>
    <col min="14933" max="14933" width="10.42578125" customWidth="1"/>
    <col min="14934" max="14934" width="1.140625" customWidth="1"/>
    <col min="14935" max="14935" width="10" customWidth="1"/>
    <col min="14936" max="14936" width="9.85546875" customWidth="1"/>
    <col min="14937" max="14937" width="10.85546875" bestFit="1" customWidth="1"/>
    <col min="14938" max="14938" width="1.42578125" customWidth="1"/>
    <col min="14939" max="14939" width="12.140625" customWidth="1"/>
    <col min="14940" max="14940" width="10.7109375" customWidth="1"/>
    <col min="14941" max="14941" width="14.42578125" customWidth="1"/>
    <col min="14942" max="14942" width="1.7109375" customWidth="1"/>
    <col min="14943" max="14943" width="11.28515625" customWidth="1"/>
    <col min="14944" max="14944" width="11.5703125" bestFit="1" customWidth="1"/>
    <col min="14945" max="14945" width="12.42578125" customWidth="1"/>
    <col min="14946" max="14946" width="1.7109375" customWidth="1"/>
    <col min="14947" max="14947" width="13.42578125" customWidth="1"/>
    <col min="14948" max="14948" width="11.140625" customWidth="1"/>
    <col min="14949" max="14949" width="11.28515625" customWidth="1"/>
    <col min="14950" max="14950" width="1.5703125" customWidth="1"/>
    <col min="14951" max="14951" width="14.42578125" customWidth="1"/>
    <col min="14952" max="14952" width="10.85546875" customWidth="1"/>
    <col min="14953" max="14953" width="13.5703125" customWidth="1"/>
    <col min="14954" max="14954" width="1.42578125" customWidth="1"/>
    <col min="14955" max="14955" width="15.28515625" customWidth="1"/>
    <col min="14956" max="14956" width="11.5703125" customWidth="1"/>
    <col min="14957" max="14957" width="14.28515625" customWidth="1"/>
    <col min="14958" max="14958" width="1.5703125" customWidth="1"/>
    <col min="14959" max="14959" width="16" customWidth="1"/>
    <col min="14960" max="14960" width="11.28515625" customWidth="1"/>
    <col min="14961" max="14961" width="13.5703125" customWidth="1"/>
    <col min="14962" max="14962" width="1.5703125" customWidth="1"/>
    <col min="14963" max="14963" width="15.140625" customWidth="1"/>
    <col min="14964" max="14964" width="11.7109375" customWidth="1"/>
    <col min="14965" max="14965" width="13.7109375" customWidth="1"/>
    <col min="14966" max="14966" width="1.42578125" customWidth="1"/>
    <col min="14967" max="14969" width="12.28515625" bestFit="1" customWidth="1"/>
    <col min="14970" max="14970" width="1.28515625" customWidth="1"/>
    <col min="14971" max="14973" width="12.28515625" bestFit="1" customWidth="1"/>
    <col min="14974" max="14974" width="1.42578125" customWidth="1"/>
    <col min="14975" max="14975" width="11.7109375" customWidth="1"/>
    <col min="14976" max="14976" width="12.28515625" bestFit="1" customWidth="1"/>
    <col min="14977" max="14977" width="11.7109375" customWidth="1"/>
    <col min="14978" max="14978" width="1.42578125" customWidth="1"/>
    <col min="15105" max="15105" width="18.42578125" customWidth="1"/>
    <col min="15106" max="15106" width="1.28515625" customWidth="1"/>
    <col min="15107" max="15107" width="13.7109375" customWidth="1"/>
    <col min="15108" max="15108" width="11.28515625" bestFit="1" customWidth="1"/>
    <col min="15109" max="15109" width="10.7109375" customWidth="1"/>
    <col min="15110" max="15117" width="0" hidden="1" customWidth="1"/>
    <col min="15118" max="15118" width="1.28515625" customWidth="1"/>
    <col min="15119" max="15122" width="0" hidden="1" customWidth="1"/>
    <col min="15123" max="15123" width="11" customWidth="1"/>
    <col min="15124" max="15124" width="10.42578125" customWidth="1"/>
    <col min="15125" max="15125" width="11.5703125" customWidth="1"/>
    <col min="15126" max="15149" width="0" hidden="1" customWidth="1"/>
    <col min="15150" max="15150" width="1.28515625" customWidth="1"/>
    <col min="15151" max="15151" width="11.7109375" customWidth="1"/>
    <col min="15152" max="15152" width="10.85546875" customWidth="1"/>
    <col min="15153" max="15153" width="11" customWidth="1"/>
    <col min="15154" max="15154" width="1.140625" customWidth="1"/>
    <col min="15155" max="15156" width="10.85546875" customWidth="1"/>
    <col min="15157" max="15157" width="11" customWidth="1"/>
    <col min="15158" max="15158" width="1.5703125" customWidth="1"/>
    <col min="15159" max="15159" width="10.7109375" customWidth="1"/>
    <col min="15160" max="15160" width="10.140625" customWidth="1"/>
    <col min="15161" max="15161" width="10.5703125" customWidth="1"/>
    <col min="15162" max="15162" width="2.140625" customWidth="1"/>
    <col min="15163" max="15163" width="10.85546875" customWidth="1"/>
    <col min="15164" max="15164" width="10.28515625" customWidth="1"/>
    <col min="15165" max="15165" width="10.42578125" customWidth="1"/>
    <col min="15166" max="15166" width="1.85546875" customWidth="1"/>
    <col min="15167" max="15178" width="0" hidden="1" customWidth="1"/>
    <col min="15179" max="15179" width="11.7109375" customWidth="1"/>
    <col min="15180" max="15180" width="10.140625" customWidth="1"/>
    <col min="15181" max="15181" width="11.7109375" customWidth="1"/>
    <col min="15182" max="15182" width="1.140625" customWidth="1"/>
    <col min="15183" max="15184" width="10.85546875" customWidth="1"/>
    <col min="15185" max="15185" width="10.7109375" customWidth="1"/>
    <col min="15186" max="15186" width="1.140625" customWidth="1"/>
    <col min="15187" max="15187" width="10" customWidth="1"/>
    <col min="15188" max="15188" width="9.85546875" customWidth="1"/>
    <col min="15189" max="15189" width="10.42578125" customWidth="1"/>
    <col min="15190" max="15190" width="1.140625" customWidth="1"/>
    <col min="15191" max="15191" width="10" customWidth="1"/>
    <col min="15192" max="15192" width="9.85546875" customWidth="1"/>
    <col min="15193" max="15193" width="10.85546875" bestFit="1" customWidth="1"/>
    <col min="15194" max="15194" width="1.42578125" customWidth="1"/>
    <col min="15195" max="15195" width="12.140625" customWidth="1"/>
    <col min="15196" max="15196" width="10.7109375" customWidth="1"/>
    <col min="15197" max="15197" width="14.42578125" customWidth="1"/>
    <col min="15198" max="15198" width="1.7109375" customWidth="1"/>
    <col min="15199" max="15199" width="11.28515625" customWidth="1"/>
    <col min="15200" max="15200" width="11.5703125" bestFit="1" customWidth="1"/>
    <col min="15201" max="15201" width="12.42578125" customWidth="1"/>
    <col min="15202" max="15202" width="1.7109375" customWidth="1"/>
    <col min="15203" max="15203" width="13.42578125" customWidth="1"/>
    <col min="15204" max="15204" width="11.140625" customWidth="1"/>
    <col min="15205" max="15205" width="11.28515625" customWidth="1"/>
    <col min="15206" max="15206" width="1.5703125" customWidth="1"/>
    <col min="15207" max="15207" width="14.42578125" customWidth="1"/>
    <col min="15208" max="15208" width="10.85546875" customWidth="1"/>
    <col min="15209" max="15209" width="13.5703125" customWidth="1"/>
    <col min="15210" max="15210" width="1.42578125" customWidth="1"/>
    <col min="15211" max="15211" width="15.28515625" customWidth="1"/>
    <col min="15212" max="15212" width="11.5703125" customWidth="1"/>
    <col min="15213" max="15213" width="14.28515625" customWidth="1"/>
    <col min="15214" max="15214" width="1.5703125" customWidth="1"/>
    <col min="15215" max="15215" width="16" customWidth="1"/>
    <col min="15216" max="15216" width="11.28515625" customWidth="1"/>
    <col min="15217" max="15217" width="13.5703125" customWidth="1"/>
    <col min="15218" max="15218" width="1.5703125" customWidth="1"/>
    <col min="15219" max="15219" width="15.140625" customWidth="1"/>
    <col min="15220" max="15220" width="11.7109375" customWidth="1"/>
    <col min="15221" max="15221" width="13.7109375" customWidth="1"/>
    <col min="15222" max="15222" width="1.42578125" customWidth="1"/>
    <col min="15223" max="15225" width="12.28515625" bestFit="1" customWidth="1"/>
    <col min="15226" max="15226" width="1.28515625" customWidth="1"/>
    <col min="15227" max="15229" width="12.28515625" bestFit="1" customWidth="1"/>
    <col min="15230" max="15230" width="1.42578125" customWidth="1"/>
    <col min="15231" max="15231" width="11.7109375" customWidth="1"/>
    <col min="15232" max="15232" width="12.28515625" bestFit="1" customWidth="1"/>
    <col min="15233" max="15233" width="11.7109375" customWidth="1"/>
    <col min="15234" max="15234" width="1.42578125" customWidth="1"/>
    <col min="15361" max="15361" width="18.42578125" customWidth="1"/>
    <col min="15362" max="15362" width="1.28515625" customWidth="1"/>
    <col min="15363" max="15363" width="13.7109375" customWidth="1"/>
    <col min="15364" max="15364" width="11.28515625" bestFit="1" customWidth="1"/>
    <col min="15365" max="15365" width="10.7109375" customWidth="1"/>
    <col min="15366" max="15373" width="0" hidden="1" customWidth="1"/>
    <col min="15374" max="15374" width="1.28515625" customWidth="1"/>
    <col min="15375" max="15378" width="0" hidden="1" customWidth="1"/>
    <col min="15379" max="15379" width="11" customWidth="1"/>
    <col min="15380" max="15380" width="10.42578125" customWidth="1"/>
    <col min="15381" max="15381" width="11.5703125" customWidth="1"/>
    <col min="15382" max="15405" width="0" hidden="1" customWidth="1"/>
    <col min="15406" max="15406" width="1.28515625" customWidth="1"/>
    <col min="15407" max="15407" width="11.7109375" customWidth="1"/>
    <col min="15408" max="15408" width="10.85546875" customWidth="1"/>
    <col min="15409" max="15409" width="11" customWidth="1"/>
    <col min="15410" max="15410" width="1.140625" customWidth="1"/>
    <col min="15411" max="15412" width="10.85546875" customWidth="1"/>
    <col min="15413" max="15413" width="11" customWidth="1"/>
    <col min="15414" max="15414" width="1.5703125" customWidth="1"/>
    <col min="15415" max="15415" width="10.7109375" customWidth="1"/>
    <col min="15416" max="15416" width="10.140625" customWidth="1"/>
    <col min="15417" max="15417" width="10.5703125" customWidth="1"/>
    <col min="15418" max="15418" width="2.140625" customWidth="1"/>
    <col min="15419" max="15419" width="10.85546875" customWidth="1"/>
    <col min="15420" max="15420" width="10.28515625" customWidth="1"/>
    <col min="15421" max="15421" width="10.42578125" customWidth="1"/>
    <col min="15422" max="15422" width="1.85546875" customWidth="1"/>
    <col min="15423" max="15434" width="0" hidden="1" customWidth="1"/>
    <col min="15435" max="15435" width="11.7109375" customWidth="1"/>
    <col min="15436" max="15436" width="10.140625" customWidth="1"/>
    <col min="15437" max="15437" width="11.7109375" customWidth="1"/>
    <col min="15438" max="15438" width="1.140625" customWidth="1"/>
    <col min="15439" max="15440" width="10.85546875" customWidth="1"/>
    <col min="15441" max="15441" width="10.7109375" customWidth="1"/>
    <col min="15442" max="15442" width="1.140625" customWidth="1"/>
    <col min="15443" max="15443" width="10" customWidth="1"/>
    <col min="15444" max="15444" width="9.85546875" customWidth="1"/>
    <col min="15445" max="15445" width="10.42578125" customWidth="1"/>
    <col min="15446" max="15446" width="1.140625" customWidth="1"/>
    <col min="15447" max="15447" width="10" customWidth="1"/>
    <col min="15448" max="15448" width="9.85546875" customWidth="1"/>
    <col min="15449" max="15449" width="10.85546875" bestFit="1" customWidth="1"/>
    <col min="15450" max="15450" width="1.42578125" customWidth="1"/>
    <col min="15451" max="15451" width="12.140625" customWidth="1"/>
    <col min="15452" max="15452" width="10.7109375" customWidth="1"/>
    <col min="15453" max="15453" width="14.42578125" customWidth="1"/>
    <col min="15454" max="15454" width="1.7109375" customWidth="1"/>
    <col min="15455" max="15455" width="11.28515625" customWidth="1"/>
    <col min="15456" max="15456" width="11.5703125" bestFit="1" customWidth="1"/>
    <col min="15457" max="15457" width="12.42578125" customWidth="1"/>
    <col min="15458" max="15458" width="1.7109375" customWidth="1"/>
    <col min="15459" max="15459" width="13.42578125" customWidth="1"/>
    <col min="15460" max="15460" width="11.140625" customWidth="1"/>
    <col min="15461" max="15461" width="11.28515625" customWidth="1"/>
    <col min="15462" max="15462" width="1.5703125" customWidth="1"/>
    <col min="15463" max="15463" width="14.42578125" customWidth="1"/>
    <col min="15464" max="15464" width="10.85546875" customWidth="1"/>
    <col min="15465" max="15465" width="13.5703125" customWidth="1"/>
    <col min="15466" max="15466" width="1.42578125" customWidth="1"/>
    <col min="15467" max="15467" width="15.28515625" customWidth="1"/>
    <col min="15468" max="15468" width="11.5703125" customWidth="1"/>
    <col min="15469" max="15469" width="14.28515625" customWidth="1"/>
    <col min="15470" max="15470" width="1.5703125" customWidth="1"/>
    <col min="15471" max="15471" width="16" customWidth="1"/>
    <col min="15472" max="15472" width="11.28515625" customWidth="1"/>
    <col min="15473" max="15473" width="13.5703125" customWidth="1"/>
    <col min="15474" max="15474" width="1.5703125" customWidth="1"/>
    <col min="15475" max="15475" width="15.140625" customWidth="1"/>
    <col min="15476" max="15476" width="11.7109375" customWidth="1"/>
    <col min="15477" max="15477" width="13.7109375" customWidth="1"/>
    <col min="15478" max="15478" width="1.42578125" customWidth="1"/>
    <col min="15479" max="15481" width="12.28515625" bestFit="1" customWidth="1"/>
    <col min="15482" max="15482" width="1.28515625" customWidth="1"/>
    <col min="15483" max="15485" width="12.28515625" bestFit="1" customWidth="1"/>
    <col min="15486" max="15486" width="1.42578125" customWidth="1"/>
    <col min="15487" max="15487" width="11.7109375" customWidth="1"/>
    <col min="15488" max="15488" width="12.28515625" bestFit="1" customWidth="1"/>
    <col min="15489" max="15489" width="11.7109375" customWidth="1"/>
    <col min="15490" max="15490" width="1.42578125" customWidth="1"/>
    <col min="15617" max="15617" width="18.42578125" customWidth="1"/>
    <col min="15618" max="15618" width="1.28515625" customWidth="1"/>
    <col min="15619" max="15619" width="13.7109375" customWidth="1"/>
    <col min="15620" max="15620" width="11.28515625" bestFit="1" customWidth="1"/>
    <col min="15621" max="15621" width="10.7109375" customWidth="1"/>
    <col min="15622" max="15629" width="0" hidden="1" customWidth="1"/>
    <col min="15630" max="15630" width="1.28515625" customWidth="1"/>
    <col min="15631" max="15634" width="0" hidden="1" customWidth="1"/>
    <col min="15635" max="15635" width="11" customWidth="1"/>
    <col min="15636" max="15636" width="10.42578125" customWidth="1"/>
    <col min="15637" max="15637" width="11.5703125" customWidth="1"/>
    <col min="15638" max="15661" width="0" hidden="1" customWidth="1"/>
    <col min="15662" max="15662" width="1.28515625" customWidth="1"/>
    <col min="15663" max="15663" width="11.7109375" customWidth="1"/>
    <col min="15664" max="15664" width="10.85546875" customWidth="1"/>
    <col min="15665" max="15665" width="11" customWidth="1"/>
    <col min="15666" max="15666" width="1.140625" customWidth="1"/>
    <col min="15667" max="15668" width="10.85546875" customWidth="1"/>
    <col min="15669" max="15669" width="11" customWidth="1"/>
    <col min="15670" max="15670" width="1.5703125" customWidth="1"/>
    <col min="15671" max="15671" width="10.7109375" customWidth="1"/>
    <col min="15672" max="15672" width="10.140625" customWidth="1"/>
    <col min="15673" max="15673" width="10.5703125" customWidth="1"/>
    <col min="15674" max="15674" width="2.140625" customWidth="1"/>
    <col min="15675" max="15675" width="10.85546875" customWidth="1"/>
    <col min="15676" max="15676" width="10.28515625" customWidth="1"/>
    <col min="15677" max="15677" width="10.42578125" customWidth="1"/>
    <col min="15678" max="15678" width="1.85546875" customWidth="1"/>
    <col min="15679" max="15690" width="0" hidden="1" customWidth="1"/>
    <col min="15691" max="15691" width="11.7109375" customWidth="1"/>
    <col min="15692" max="15692" width="10.140625" customWidth="1"/>
    <col min="15693" max="15693" width="11.7109375" customWidth="1"/>
    <col min="15694" max="15694" width="1.140625" customWidth="1"/>
    <col min="15695" max="15696" width="10.85546875" customWidth="1"/>
    <col min="15697" max="15697" width="10.7109375" customWidth="1"/>
    <col min="15698" max="15698" width="1.140625" customWidth="1"/>
    <col min="15699" max="15699" width="10" customWidth="1"/>
    <col min="15700" max="15700" width="9.85546875" customWidth="1"/>
    <col min="15701" max="15701" width="10.42578125" customWidth="1"/>
    <col min="15702" max="15702" width="1.140625" customWidth="1"/>
    <col min="15703" max="15703" width="10" customWidth="1"/>
    <col min="15704" max="15704" width="9.85546875" customWidth="1"/>
    <col min="15705" max="15705" width="10.85546875" bestFit="1" customWidth="1"/>
    <col min="15706" max="15706" width="1.42578125" customWidth="1"/>
    <col min="15707" max="15707" width="12.140625" customWidth="1"/>
    <col min="15708" max="15708" width="10.7109375" customWidth="1"/>
    <col min="15709" max="15709" width="14.42578125" customWidth="1"/>
    <col min="15710" max="15710" width="1.7109375" customWidth="1"/>
    <col min="15711" max="15711" width="11.28515625" customWidth="1"/>
    <col min="15712" max="15712" width="11.5703125" bestFit="1" customWidth="1"/>
    <col min="15713" max="15713" width="12.42578125" customWidth="1"/>
    <col min="15714" max="15714" width="1.7109375" customWidth="1"/>
    <col min="15715" max="15715" width="13.42578125" customWidth="1"/>
    <col min="15716" max="15716" width="11.140625" customWidth="1"/>
    <col min="15717" max="15717" width="11.28515625" customWidth="1"/>
    <col min="15718" max="15718" width="1.5703125" customWidth="1"/>
    <col min="15719" max="15719" width="14.42578125" customWidth="1"/>
    <col min="15720" max="15720" width="10.85546875" customWidth="1"/>
    <col min="15721" max="15721" width="13.5703125" customWidth="1"/>
    <col min="15722" max="15722" width="1.42578125" customWidth="1"/>
    <col min="15723" max="15723" width="15.28515625" customWidth="1"/>
    <col min="15724" max="15724" width="11.5703125" customWidth="1"/>
    <col min="15725" max="15725" width="14.28515625" customWidth="1"/>
    <col min="15726" max="15726" width="1.5703125" customWidth="1"/>
    <col min="15727" max="15727" width="16" customWidth="1"/>
    <col min="15728" max="15728" width="11.28515625" customWidth="1"/>
    <col min="15729" max="15729" width="13.5703125" customWidth="1"/>
    <col min="15730" max="15730" width="1.5703125" customWidth="1"/>
    <col min="15731" max="15731" width="15.140625" customWidth="1"/>
    <col min="15732" max="15732" width="11.7109375" customWidth="1"/>
    <col min="15733" max="15733" width="13.7109375" customWidth="1"/>
    <col min="15734" max="15734" width="1.42578125" customWidth="1"/>
    <col min="15735" max="15737" width="12.28515625" bestFit="1" customWidth="1"/>
    <col min="15738" max="15738" width="1.28515625" customWidth="1"/>
    <col min="15739" max="15741" width="12.28515625" bestFit="1" customWidth="1"/>
    <col min="15742" max="15742" width="1.42578125" customWidth="1"/>
    <col min="15743" max="15743" width="11.7109375" customWidth="1"/>
    <col min="15744" max="15744" width="12.28515625" bestFit="1" customWidth="1"/>
    <col min="15745" max="15745" width="11.7109375" customWidth="1"/>
    <col min="15746" max="15746" width="1.42578125" customWidth="1"/>
    <col min="15873" max="15873" width="18.42578125" customWidth="1"/>
    <col min="15874" max="15874" width="1.28515625" customWidth="1"/>
    <col min="15875" max="15875" width="13.7109375" customWidth="1"/>
    <col min="15876" max="15876" width="11.28515625" bestFit="1" customWidth="1"/>
    <col min="15877" max="15877" width="10.7109375" customWidth="1"/>
    <col min="15878" max="15885" width="0" hidden="1" customWidth="1"/>
    <col min="15886" max="15886" width="1.28515625" customWidth="1"/>
    <col min="15887" max="15890" width="0" hidden="1" customWidth="1"/>
    <col min="15891" max="15891" width="11" customWidth="1"/>
    <col min="15892" max="15892" width="10.42578125" customWidth="1"/>
    <col min="15893" max="15893" width="11.5703125" customWidth="1"/>
    <col min="15894" max="15917" width="0" hidden="1" customWidth="1"/>
    <col min="15918" max="15918" width="1.28515625" customWidth="1"/>
    <col min="15919" max="15919" width="11.7109375" customWidth="1"/>
    <col min="15920" max="15920" width="10.85546875" customWidth="1"/>
    <col min="15921" max="15921" width="11" customWidth="1"/>
    <col min="15922" max="15922" width="1.140625" customWidth="1"/>
    <col min="15923" max="15924" width="10.85546875" customWidth="1"/>
    <col min="15925" max="15925" width="11" customWidth="1"/>
    <col min="15926" max="15926" width="1.5703125" customWidth="1"/>
    <col min="15927" max="15927" width="10.7109375" customWidth="1"/>
    <col min="15928" max="15928" width="10.140625" customWidth="1"/>
    <col min="15929" max="15929" width="10.5703125" customWidth="1"/>
    <col min="15930" max="15930" width="2.140625" customWidth="1"/>
    <col min="15931" max="15931" width="10.85546875" customWidth="1"/>
    <col min="15932" max="15932" width="10.28515625" customWidth="1"/>
    <col min="15933" max="15933" width="10.42578125" customWidth="1"/>
    <col min="15934" max="15934" width="1.85546875" customWidth="1"/>
    <col min="15935" max="15946" width="0" hidden="1" customWidth="1"/>
    <col min="15947" max="15947" width="11.7109375" customWidth="1"/>
    <col min="15948" max="15948" width="10.140625" customWidth="1"/>
    <col min="15949" max="15949" width="11.7109375" customWidth="1"/>
    <col min="15950" max="15950" width="1.140625" customWidth="1"/>
    <col min="15951" max="15952" width="10.85546875" customWidth="1"/>
    <col min="15953" max="15953" width="10.7109375" customWidth="1"/>
    <col min="15954" max="15954" width="1.140625" customWidth="1"/>
    <col min="15955" max="15955" width="10" customWidth="1"/>
    <col min="15956" max="15956" width="9.85546875" customWidth="1"/>
    <col min="15957" max="15957" width="10.42578125" customWidth="1"/>
    <col min="15958" max="15958" width="1.140625" customWidth="1"/>
    <col min="15959" max="15959" width="10" customWidth="1"/>
    <col min="15960" max="15960" width="9.85546875" customWidth="1"/>
    <col min="15961" max="15961" width="10.85546875" bestFit="1" customWidth="1"/>
    <col min="15962" max="15962" width="1.42578125" customWidth="1"/>
    <col min="15963" max="15963" width="12.140625" customWidth="1"/>
    <col min="15964" max="15964" width="10.7109375" customWidth="1"/>
    <col min="15965" max="15965" width="14.42578125" customWidth="1"/>
    <col min="15966" max="15966" width="1.7109375" customWidth="1"/>
    <col min="15967" max="15967" width="11.28515625" customWidth="1"/>
    <col min="15968" max="15968" width="11.5703125" bestFit="1" customWidth="1"/>
    <col min="15969" max="15969" width="12.42578125" customWidth="1"/>
    <col min="15970" max="15970" width="1.7109375" customWidth="1"/>
    <col min="15971" max="15971" width="13.42578125" customWidth="1"/>
    <col min="15972" max="15972" width="11.140625" customWidth="1"/>
    <col min="15973" max="15973" width="11.28515625" customWidth="1"/>
    <col min="15974" max="15974" width="1.5703125" customWidth="1"/>
    <col min="15975" max="15975" width="14.42578125" customWidth="1"/>
    <col min="15976" max="15976" width="10.85546875" customWidth="1"/>
    <col min="15977" max="15977" width="13.5703125" customWidth="1"/>
    <col min="15978" max="15978" width="1.42578125" customWidth="1"/>
    <col min="15979" max="15979" width="15.28515625" customWidth="1"/>
    <col min="15980" max="15980" width="11.5703125" customWidth="1"/>
    <col min="15981" max="15981" width="14.28515625" customWidth="1"/>
    <col min="15982" max="15982" width="1.5703125" customWidth="1"/>
    <col min="15983" max="15983" width="16" customWidth="1"/>
    <col min="15984" max="15984" width="11.28515625" customWidth="1"/>
    <col min="15985" max="15985" width="13.5703125" customWidth="1"/>
    <col min="15986" max="15986" width="1.5703125" customWidth="1"/>
    <col min="15987" max="15987" width="15.140625" customWidth="1"/>
    <col min="15988" max="15988" width="11.7109375" customWidth="1"/>
    <col min="15989" max="15989" width="13.7109375" customWidth="1"/>
    <col min="15990" max="15990" width="1.42578125" customWidth="1"/>
    <col min="15991" max="15993" width="12.28515625" bestFit="1" customWidth="1"/>
    <col min="15994" max="15994" width="1.28515625" customWidth="1"/>
    <col min="15995" max="15997" width="12.28515625" bestFit="1" customWidth="1"/>
    <col min="15998" max="15998" width="1.42578125" customWidth="1"/>
    <col min="15999" max="15999" width="11.7109375" customWidth="1"/>
    <col min="16000" max="16000" width="12.28515625" bestFit="1" customWidth="1"/>
    <col min="16001" max="16001" width="11.7109375" customWidth="1"/>
    <col min="16002" max="16002" width="1.42578125" customWidth="1"/>
    <col min="16129" max="16129" width="18.42578125" customWidth="1"/>
    <col min="16130" max="16130" width="1.28515625" customWidth="1"/>
    <col min="16131" max="16131" width="13.7109375" customWidth="1"/>
    <col min="16132" max="16132" width="11.28515625" bestFit="1" customWidth="1"/>
    <col min="16133" max="16133" width="10.7109375" customWidth="1"/>
    <col min="16134" max="16141" width="0" hidden="1" customWidth="1"/>
    <col min="16142" max="16142" width="1.28515625" customWidth="1"/>
    <col min="16143" max="16146" width="0" hidden="1" customWidth="1"/>
    <col min="16147" max="16147" width="11" customWidth="1"/>
    <col min="16148" max="16148" width="10.42578125" customWidth="1"/>
    <col min="16149" max="16149" width="11.5703125" customWidth="1"/>
    <col min="16150" max="16173" width="0" hidden="1" customWidth="1"/>
    <col min="16174" max="16174" width="1.28515625" customWidth="1"/>
    <col min="16175" max="16175" width="11.7109375" customWidth="1"/>
    <col min="16176" max="16176" width="10.85546875" customWidth="1"/>
    <col min="16177" max="16177" width="11" customWidth="1"/>
    <col min="16178" max="16178" width="1.140625" customWidth="1"/>
    <col min="16179" max="16180" width="10.85546875" customWidth="1"/>
    <col min="16181" max="16181" width="11" customWidth="1"/>
    <col min="16182" max="16182" width="1.5703125" customWidth="1"/>
    <col min="16183" max="16183" width="10.7109375" customWidth="1"/>
    <col min="16184" max="16184" width="10.140625" customWidth="1"/>
    <col min="16185" max="16185" width="10.5703125" customWidth="1"/>
    <col min="16186" max="16186" width="2.140625" customWidth="1"/>
    <col min="16187" max="16187" width="10.85546875" customWidth="1"/>
    <col min="16188" max="16188" width="10.28515625" customWidth="1"/>
    <col min="16189" max="16189" width="10.42578125" customWidth="1"/>
    <col min="16190" max="16190" width="1.85546875" customWidth="1"/>
    <col min="16191" max="16202" width="0" hidden="1" customWidth="1"/>
    <col min="16203" max="16203" width="11.7109375" customWidth="1"/>
    <col min="16204" max="16204" width="10.140625" customWidth="1"/>
    <col min="16205" max="16205" width="11.7109375" customWidth="1"/>
    <col min="16206" max="16206" width="1.140625" customWidth="1"/>
    <col min="16207" max="16208" width="10.85546875" customWidth="1"/>
    <col min="16209" max="16209" width="10.7109375" customWidth="1"/>
    <col min="16210" max="16210" width="1.140625" customWidth="1"/>
    <col min="16211" max="16211" width="10" customWidth="1"/>
    <col min="16212" max="16212" width="9.85546875" customWidth="1"/>
    <col min="16213" max="16213" width="10.42578125" customWidth="1"/>
    <col min="16214" max="16214" width="1.140625" customWidth="1"/>
    <col min="16215" max="16215" width="10" customWidth="1"/>
    <col min="16216" max="16216" width="9.85546875" customWidth="1"/>
    <col min="16217" max="16217" width="10.85546875" bestFit="1" customWidth="1"/>
    <col min="16218" max="16218" width="1.42578125" customWidth="1"/>
    <col min="16219" max="16219" width="12.140625" customWidth="1"/>
    <col min="16220" max="16220" width="10.7109375" customWidth="1"/>
    <col min="16221" max="16221" width="14.42578125" customWidth="1"/>
    <col min="16222" max="16222" width="1.7109375" customWidth="1"/>
    <col min="16223" max="16223" width="11.28515625" customWidth="1"/>
    <col min="16224" max="16224" width="11.5703125" bestFit="1" customWidth="1"/>
    <col min="16225" max="16225" width="12.42578125" customWidth="1"/>
    <col min="16226" max="16226" width="1.7109375" customWidth="1"/>
    <col min="16227" max="16227" width="13.42578125" customWidth="1"/>
    <col min="16228" max="16228" width="11.140625" customWidth="1"/>
    <col min="16229" max="16229" width="11.28515625" customWidth="1"/>
    <col min="16230" max="16230" width="1.5703125" customWidth="1"/>
    <col min="16231" max="16231" width="14.42578125" customWidth="1"/>
    <col min="16232" max="16232" width="10.85546875" customWidth="1"/>
    <col min="16233" max="16233" width="13.5703125" customWidth="1"/>
    <col min="16234" max="16234" width="1.42578125" customWidth="1"/>
    <col min="16235" max="16235" width="15.28515625" customWidth="1"/>
    <col min="16236" max="16236" width="11.5703125" customWidth="1"/>
    <col min="16237" max="16237" width="14.28515625" customWidth="1"/>
    <col min="16238" max="16238" width="1.5703125" customWidth="1"/>
    <col min="16239" max="16239" width="16" customWidth="1"/>
    <col min="16240" max="16240" width="11.28515625" customWidth="1"/>
    <col min="16241" max="16241" width="13.5703125" customWidth="1"/>
    <col min="16242" max="16242" width="1.5703125" customWidth="1"/>
    <col min="16243" max="16243" width="15.140625" customWidth="1"/>
    <col min="16244" max="16244" width="11.7109375" customWidth="1"/>
    <col min="16245" max="16245" width="13.7109375" customWidth="1"/>
    <col min="16246" max="16246" width="1.42578125" customWidth="1"/>
    <col min="16247" max="16249" width="12.28515625" bestFit="1" customWidth="1"/>
    <col min="16250" max="16250" width="1.28515625" customWidth="1"/>
    <col min="16251" max="16253" width="12.28515625" bestFit="1" customWidth="1"/>
    <col min="16254" max="16254" width="1.42578125" customWidth="1"/>
    <col min="16255" max="16255" width="11.7109375" customWidth="1"/>
    <col min="16256" max="16256" width="12.28515625" bestFit="1" customWidth="1"/>
    <col min="16257" max="16257" width="11.7109375" customWidth="1"/>
    <col min="16258" max="16258" width="1.42578125" customWidth="1"/>
  </cols>
  <sheetData>
    <row r="1" spans="1:130" x14ac:dyDescent="0.2">
      <c r="A1" s="1"/>
    </row>
    <row r="2" spans="1:130" x14ac:dyDescent="0.2">
      <c r="A2" s="3" t="s">
        <v>0</v>
      </c>
    </row>
    <row r="3" spans="1:130" x14ac:dyDescent="0.2">
      <c r="A3" s="3" t="s">
        <v>1</v>
      </c>
    </row>
    <row r="4" spans="1:130" x14ac:dyDescent="0.2">
      <c r="A4" s="4">
        <v>44742</v>
      </c>
      <c r="DC4" s="5"/>
      <c r="DG4" s="5"/>
    </row>
    <row r="5" spans="1:130" ht="12.75" customHeight="1" x14ac:dyDescent="0.3">
      <c r="A5" s="6"/>
      <c r="CI5" s="7" t="s">
        <v>2</v>
      </c>
      <c r="CM5" s="7" t="s">
        <v>3</v>
      </c>
      <c r="CQ5" s="7" t="s">
        <v>4</v>
      </c>
      <c r="CU5" s="7" t="s">
        <v>5</v>
      </c>
      <c r="CY5" s="7" t="s">
        <v>6</v>
      </c>
      <c r="DC5" s="8" t="s">
        <v>7</v>
      </c>
      <c r="DG5" s="8" t="s">
        <v>8</v>
      </c>
      <c r="DK5" s="9" t="s">
        <v>9</v>
      </c>
      <c r="DL5" s="10"/>
      <c r="DM5" s="10"/>
    </row>
    <row r="6" spans="1:130" s="10" customFormat="1" x14ac:dyDescent="0.2">
      <c r="A6" s="10" t="s">
        <v>10</v>
      </c>
      <c r="C6" s="11" t="s">
        <v>11</v>
      </c>
      <c r="D6" s="11"/>
      <c r="E6" s="11"/>
      <c r="G6" s="12"/>
      <c r="H6" s="12"/>
      <c r="I6" s="12"/>
      <c r="K6" s="10" t="s">
        <v>12</v>
      </c>
      <c r="O6" s="12"/>
      <c r="P6" s="12"/>
      <c r="Q6" s="12"/>
      <c r="S6" s="11"/>
      <c r="T6" s="11"/>
      <c r="U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 t="s">
        <v>13</v>
      </c>
      <c r="AV6" s="11"/>
      <c r="AW6" s="11"/>
      <c r="AX6" s="11"/>
      <c r="AY6" s="11" t="s">
        <v>14</v>
      </c>
      <c r="AZ6" s="11"/>
      <c r="BA6" s="11"/>
      <c r="BB6" s="11"/>
      <c r="BC6" s="11" t="s">
        <v>15</v>
      </c>
      <c r="BD6" s="11"/>
      <c r="BE6" s="11"/>
      <c r="BF6" s="11"/>
      <c r="BG6" s="11" t="s">
        <v>13</v>
      </c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 t="s">
        <v>16</v>
      </c>
      <c r="CF6" s="11"/>
      <c r="CG6" s="11"/>
      <c r="CH6" s="11"/>
      <c r="CI6" s="11" t="s">
        <v>17</v>
      </c>
      <c r="CJ6" s="11"/>
      <c r="CK6" s="11"/>
      <c r="CM6" s="11" t="s">
        <v>18</v>
      </c>
      <c r="CN6" s="13"/>
      <c r="CO6" s="11"/>
      <c r="CP6" s="11"/>
      <c r="CQ6" s="11" t="s">
        <v>19</v>
      </c>
      <c r="CR6" s="11"/>
      <c r="CS6" s="11"/>
      <c r="CT6" s="11"/>
      <c r="CU6" s="11" t="s">
        <v>20</v>
      </c>
      <c r="CV6" s="11"/>
      <c r="CW6" s="11"/>
      <c r="CX6" s="11"/>
      <c r="CY6" s="11" t="s">
        <v>21</v>
      </c>
      <c r="CZ6" s="11"/>
      <c r="DA6" s="11"/>
      <c r="DC6" s="11" t="s">
        <v>22</v>
      </c>
      <c r="DD6" s="11"/>
      <c r="DE6" s="11"/>
      <c r="DG6" s="11" t="s">
        <v>23</v>
      </c>
      <c r="DK6" s="11" t="s">
        <v>24</v>
      </c>
      <c r="DO6" s="11"/>
      <c r="DP6" s="11"/>
      <c r="DQ6" s="11"/>
      <c r="DS6" s="11"/>
      <c r="DT6" s="11"/>
      <c r="DU6" s="11"/>
      <c r="DW6" s="11"/>
      <c r="DX6" s="11"/>
      <c r="DY6" s="11"/>
    </row>
    <row r="7" spans="1:130" s="10" customFormat="1" x14ac:dyDescent="0.2">
      <c r="A7" s="10" t="s">
        <v>25</v>
      </c>
      <c r="C7" s="14" t="s">
        <v>26</v>
      </c>
      <c r="D7" s="14"/>
      <c r="E7" s="14"/>
      <c r="F7" s="14"/>
      <c r="G7" s="14"/>
      <c r="H7" s="14"/>
      <c r="I7" s="14"/>
      <c r="J7" s="14"/>
      <c r="K7" s="14" t="s">
        <v>27</v>
      </c>
      <c r="L7" s="14"/>
      <c r="M7" s="14"/>
      <c r="N7" s="14"/>
      <c r="O7" s="14"/>
      <c r="P7" s="14"/>
      <c r="Q7" s="14"/>
      <c r="R7" s="14"/>
      <c r="S7" s="14"/>
      <c r="T7" s="14"/>
      <c r="U7" s="14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 t="s">
        <v>28</v>
      </c>
      <c r="AV7" s="11"/>
      <c r="AW7" s="11"/>
      <c r="AX7" s="11"/>
      <c r="AY7" s="11" t="s">
        <v>29</v>
      </c>
      <c r="AZ7" s="11"/>
      <c r="BA7" s="11"/>
      <c r="BB7" s="11"/>
      <c r="BC7" s="11" t="s">
        <v>30</v>
      </c>
      <c r="BD7" s="11"/>
      <c r="BE7" s="11"/>
      <c r="BF7" s="11"/>
      <c r="BG7" s="11" t="s">
        <v>28</v>
      </c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4" t="s">
        <v>31</v>
      </c>
      <c r="CF7" s="14"/>
      <c r="CG7" s="14"/>
      <c r="CH7" s="11"/>
      <c r="CI7" s="14" t="s">
        <v>32</v>
      </c>
      <c r="CJ7" s="14"/>
      <c r="CK7" s="14"/>
      <c r="CL7" s="14"/>
      <c r="CM7" s="14" t="s">
        <v>33</v>
      </c>
      <c r="CN7" s="15"/>
      <c r="CO7" s="14"/>
      <c r="CP7" s="14"/>
      <c r="CQ7" s="14" t="s">
        <v>34</v>
      </c>
      <c r="CR7" s="14"/>
      <c r="CS7" s="14"/>
      <c r="CT7" s="14"/>
      <c r="CU7" s="14" t="s">
        <v>35</v>
      </c>
      <c r="CV7" s="14"/>
      <c r="CW7" s="14"/>
      <c r="CX7" s="14"/>
      <c r="CY7" s="14" t="s">
        <v>36</v>
      </c>
      <c r="CZ7" s="14"/>
      <c r="DA7" s="14"/>
      <c r="DB7" s="14"/>
      <c r="DC7" s="14" t="s">
        <v>37</v>
      </c>
      <c r="DD7" s="14"/>
      <c r="DE7" s="14"/>
      <c r="DF7" s="14"/>
      <c r="DG7" s="14" t="s">
        <v>38</v>
      </c>
      <c r="DH7" s="14"/>
      <c r="DI7" s="14"/>
      <c r="DJ7" s="14"/>
      <c r="DK7" s="14" t="s">
        <v>39</v>
      </c>
      <c r="DL7" s="14"/>
      <c r="DM7" s="14"/>
      <c r="DN7" s="16"/>
      <c r="DO7" s="16"/>
      <c r="DP7" s="16"/>
      <c r="DQ7" s="16"/>
      <c r="DS7" s="11"/>
      <c r="DT7" s="11"/>
      <c r="DU7" s="11"/>
      <c r="DW7" s="11"/>
      <c r="DX7" s="11"/>
      <c r="DY7" s="11"/>
    </row>
    <row r="8" spans="1:130" x14ac:dyDescent="0.2">
      <c r="A8" t="s">
        <v>40</v>
      </c>
      <c r="C8" s="17" t="s">
        <v>41</v>
      </c>
      <c r="D8" s="18"/>
      <c r="E8" s="18"/>
      <c r="F8" s="19"/>
      <c r="G8" s="18" t="s">
        <v>42</v>
      </c>
      <c r="H8" s="18"/>
      <c r="I8" s="18"/>
      <c r="J8" s="19"/>
      <c r="K8" s="20" t="s">
        <v>43</v>
      </c>
      <c r="L8" s="18"/>
      <c r="M8" s="18"/>
      <c r="N8" s="19"/>
      <c r="O8" s="20"/>
      <c r="P8" s="18"/>
      <c r="Q8" s="18"/>
      <c r="R8" s="19"/>
      <c r="S8" s="19"/>
      <c r="T8" s="19"/>
      <c r="U8" s="19"/>
      <c r="W8" s="17" t="s">
        <v>44</v>
      </c>
      <c r="X8" s="18"/>
      <c r="Y8" s="18"/>
      <c r="Z8" s="19"/>
      <c r="AA8" s="17" t="s">
        <v>45</v>
      </c>
      <c r="AB8" s="18"/>
      <c r="AC8" s="18"/>
      <c r="AD8" s="19"/>
      <c r="AE8" s="20" t="s">
        <v>46</v>
      </c>
      <c r="AF8" s="18"/>
      <c r="AG8" s="18"/>
      <c r="AH8" s="19"/>
      <c r="AI8" s="19"/>
      <c r="AJ8" s="19"/>
      <c r="AK8" s="19"/>
      <c r="AM8" s="20" t="s">
        <v>47</v>
      </c>
      <c r="AN8" s="18"/>
      <c r="AO8" s="18"/>
      <c r="AQ8" s="20" t="s">
        <v>48</v>
      </c>
      <c r="AR8" s="18"/>
      <c r="AS8" s="18"/>
      <c r="AU8" s="20" t="s">
        <v>49</v>
      </c>
      <c r="AV8" s="18"/>
      <c r="AW8" s="18"/>
      <c r="AY8" s="20" t="s">
        <v>50</v>
      </c>
      <c r="AZ8" s="18"/>
      <c r="BA8" s="18"/>
      <c r="BC8" s="20" t="s">
        <v>51</v>
      </c>
      <c r="BD8" s="18"/>
      <c r="BE8" s="18"/>
      <c r="BG8" s="20" t="s">
        <v>52</v>
      </c>
      <c r="BH8" s="18"/>
      <c r="BI8" s="18"/>
      <c r="BK8" s="20"/>
      <c r="BL8" s="18"/>
      <c r="BM8" s="18"/>
      <c r="BO8" s="20"/>
      <c r="BP8" s="18"/>
      <c r="BQ8" s="18"/>
      <c r="BS8" s="21"/>
      <c r="BT8" s="19"/>
      <c r="BU8" s="19"/>
      <c r="BW8" s="21"/>
      <c r="BX8" s="19"/>
      <c r="BY8" s="19"/>
      <c r="CA8" s="19"/>
      <c r="CB8" s="19"/>
      <c r="CC8" s="19"/>
      <c r="CE8" s="17" t="s">
        <v>53</v>
      </c>
      <c r="CF8" s="18"/>
      <c r="CG8" s="18"/>
      <c r="CI8" s="17" t="s">
        <v>54</v>
      </c>
      <c r="CJ8" s="18"/>
      <c r="CK8" s="18"/>
      <c r="CL8" s="22"/>
      <c r="CM8" s="23">
        <v>44308</v>
      </c>
      <c r="CN8" s="23"/>
      <c r="CO8" s="18"/>
      <c r="CP8" s="22"/>
      <c r="CQ8" s="23">
        <v>42264</v>
      </c>
      <c r="CR8" s="23"/>
      <c r="CS8" s="18"/>
      <c r="CT8" s="22"/>
      <c r="CU8" s="24">
        <v>41804</v>
      </c>
      <c r="CV8" s="25"/>
      <c r="CW8" s="25"/>
      <c r="CX8" s="22"/>
      <c r="CY8" s="24">
        <v>42180</v>
      </c>
      <c r="CZ8" s="25"/>
      <c r="DA8" s="25"/>
      <c r="DB8" s="22"/>
      <c r="DC8" s="24">
        <v>42471</v>
      </c>
      <c r="DD8" s="25"/>
      <c r="DE8" s="25"/>
      <c r="DF8" s="22"/>
      <c r="DG8" s="24">
        <v>42835</v>
      </c>
      <c r="DH8" s="25"/>
      <c r="DI8" s="25"/>
      <c r="DJ8" s="22"/>
      <c r="DK8" s="24">
        <v>43200</v>
      </c>
      <c r="DL8" s="25"/>
      <c r="DM8" s="25"/>
      <c r="DN8" s="19"/>
      <c r="DO8" s="19"/>
      <c r="DP8" s="19"/>
      <c r="DQ8" s="19"/>
      <c r="DS8" s="19"/>
      <c r="DT8" s="19"/>
      <c r="DU8" s="19"/>
      <c r="DW8" s="26"/>
      <c r="DX8" s="26"/>
      <c r="DY8" s="26"/>
    </row>
    <row r="9" spans="1:130" x14ac:dyDescent="0.2">
      <c r="A9" t="s">
        <v>55</v>
      </c>
      <c r="C9" s="27">
        <v>3160000</v>
      </c>
      <c r="D9" s="27"/>
      <c r="E9" s="27"/>
      <c r="F9" s="28"/>
      <c r="G9" s="27">
        <v>4295000</v>
      </c>
      <c r="H9" s="27"/>
      <c r="I9" s="27"/>
      <c r="J9" s="28"/>
      <c r="K9" s="27">
        <v>388421</v>
      </c>
      <c r="L9" s="27"/>
      <c r="M9" s="27"/>
      <c r="N9" s="28"/>
      <c r="O9" s="27"/>
      <c r="P9" s="27"/>
      <c r="Q9" s="27"/>
      <c r="R9" s="28"/>
      <c r="S9" s="28"/>
      <c r="T9" s="28"/>
      <c r="U9" s="28"/>
      <c r="V9" s="29"/>
      <c r="W9" s="27">
        <v>2965000</v>
      </c>
      <c r="X9" s="27"/>
      <c r="Y9" s="27"/>
      <c r="Z9" s="28"/>
      <c r="AA9" s="30">
        <v>2025000</v>
      </c>
      <c r="AB9" s="27"/>
      <c r="AC9" s="27"/>
      <c r="AD9" s="28"/>
      <c r="AE9" s="27">
        <v>1770000</v>
      </c>
      <c r="AF9" s="27"/>
      <c r="AG9" s="27"/>
      <c r="AH9" s="28"/>
      <c r="AI9" s="28"/>
      <c r="AJ9" s="28"/>
      <c r="AK9" s="28"/>
      <c r="AM9" s="27">
        <v>2444256</v>
      </c>
      <c r="AN9" s="27"/>
      <c r="AO9" s="27"/>
      <c r="AQ9" s="27">
        <v>408364</v>
      </c>
      <c r="AR9" s="27"/>
      <c r="AS9" s="27"/>
      <c r="AU9" s="27">
        <v>820000</v>
      </c>
      <c r="AV9" s="27"/>
      <c r="AW9" s="27"/>
      <c r="AY9" s="27">
        <v>582961</v>
      </c>
      <c r="AZ9" s="27"/>
      <c r="BA9" s="27"/>
      <c r="BC9" s="27">
        <v>354430</v>
      </c>
      <c r="BD9" s="27"/>
      <c r="BE9" s="27"/>
      <c r="BG9" s="27">
        <v>575000</v>
      </c>
      <c r="BH9" s="27"/>
      <c r="BI9" s="27"/>
      <c r="BK9" s="27"/>
      <c r="BL9" s="27"/>
      <c r="BM9" s="27"/>
      <c r="BO9" s="27"/>
      <c r="BP9" s="27"/>
      <c r="BQ9" s="27"/>
      <c r="BS9" s="28"/>
      <c r="BT9" s="28"/>
      <c r="BU9" s="28"/>
      <c r="BW9" s="28"/>
      <c r="BX9" s="28"/>
      <c r="BY9" s="28"/>
      <c r="CA9" s="28"/>
      <c r="CB9" s="28"/>
      <c r="CC9" s="28"/>
      <c r="CE9" s="27">
        <v>469625</v>
      </c>
      <c r="CF9" s="27"/>
      <c r="CG9" s="27"/>
      <c r="CI9" s="27">
        <v>469625</v>
      </c>
      <c r="CJ9" s="27"/>
      <c r="CK9" s="27"/>
      <c r="CL9" s="31"/>
      <c r="CM9" s="27">
        <v>2455000</v>
      </c>
      <c r="CN9" s="32"/>
      <c r="CO9" s="27"/>
      <c r="CP9" s="31"/>
      <c r="CQ9" s="27">
        <v>7625000</v>
      </c>
      <c r="CR9" s="27"/>
      <c r="CS9" s="27"/>
      <c r="CT9" s="31"/>
      <c r="CU9" s="33">
        <v>6000000</v>
      </c>
      <c r="CV9" s="33"/>
      <c r="CW9" s="33"/>
      <c r="CX9" s="31"/>
      <c r="CY9" s="33" t="s">
        <v>56</v>
      </c>
      <c r="CZ9" s="33"/>
      <c r="DA9" s="33"/>
      <c r="DB9" s="31"/>
      <c r="DC9" s="33" t="s">
        <v>57</v>
      </c>
      <c r="DD9" s="33"/>
      <c r="DE9" s="33"/>
      <c r="DF9" s="31"/>
      <c r="DG9" s="33" t="s">
        <v>58</v>
      </c>
      <c r="DH9" s="33"/>
      <c r="DI9" s="33"/>
      <c r="DJ9" s="31"/>
      <c r="DK9" s="33" t="s">
        <v>59</v>
      </c>
      <c r="DL9" s="33"/>
      <c r="DM9" s="33"/>
      <c r="DN9" s="28"/>
      <c r="DO9" s="28"/>
      <c r="DP9" s="28"/>
      <c r="DQ9" s="28"/>
      <c r="DS9" s="28"/>
      <c r="DT9" s="28"/>
      <c r="DU9" s="28"/>
      <c r="DW9" s="26"/>
      <c r="DX9" s="26"/>
      <c r="DY9" s="26"/>
    </row>
    <row r="10" spans="1:130" ht="12.75" customHeight="1" x14ac:dyDescent="0.2">
      <c r="A10" t="s">
        <v>60</v>
      </c>
      <c r="C10" s="34" t="s">
        <v>61</v>
      </c>
      <c r="D10" s="18"/>
      <c r="E10" s="18"/>
      <c r="F10" s="19"/>
      <c r="G10" s="18" t="s">
        <v>62</v>
      </c>
      <c r="H10" s="18"/>
      <c r="I10" s="18"/>
      <c r="J10" s="19"/>
      <c r="K10" s="34" t="s">
        <v>63</v>
      </c>
      <c r="L10" s="18"/>
      <c r="M10" s="18"/>
      <c r="N10" s="19"/>
      <c r="O10" s="34"/>
      <c r="P10" s="18"/>
      <c r="Q10" s="18"/>
      <c r="R10" s="19"/>
      <c r="S10" s="18"/>
      <c r="T10" s="18"/>
      <c r="U10" s="18"/>
      <c r="W10" s="34" t="s">
        <v>64</v>
      </c>
      <c r="X10" s="18"/>
      <c r="Y10" s="18"/>
      <c r="Z10" s="19"/>
      <c r="AA10" s="34" t="s">
        <v>64</v>
      </c>
      <c r="AB10" s="18"/>
      <c r="AC10" s="18"/>
      <c r="AD10" s="19"/>
      <c r="AE10" s="34" t="s">
        <v>64</v>
      </c>
      <c r="AF10" s="18"/>
      <c r="AG10" s="18"/>
      <c r="AH10" s="19"/>
      <c r="AI10" s="18"/>
      <c r="AJ10" s="18"/>
      <c r="AK10" s="18"/>
      <c r="AM10" s="35" t="s">
        <v>65</v>
      </c>
      <c r="AN10" s="18"/>
      <c r="AO10" s="18"/>
      <c r="AQ10" s="36" t="s">
        <v>66</v>
      </c>
      <c r="AR10" s="36"/>
      <c r="AS10" s="36"/>
      <c r="AU10" s="37" t="s">
        <v>67</v>
      </c>
      <c r="AV10" s="37"/>
      <c r="AW10" s="37"/>
      <c r="AY10" s="37" t="s">
        <v>68</v>
      </c>
      <c r="AZ10" s="37"/>
      <c r="BA10" s="37"/>
      <c r="BC10" s="37" t="s">
        <v>69</v>
      </c>
      <c r="BD10" s="37"/>
      <c r="BE10" s="37"/>
      <c r="BG10" s="37" t="s">
        <v>70</v>
      </c>
      <c r="BH10" s="37"/>
      <c r="BI10" s="37"/>
      <c r="BK10" s="38"/>
      <c r="BL10" s="38"/>
      <c r="BM10" s="38"/>
      <c r="BO10" s="38"/>
      <c r="BP10" s="38"/>
      <c r="BQ10" s="38"/>
      <c r="BS10" s="34"/>
      <c r="BT10" s="18"/>
      <c r="BU10" s="18"/>
      <c r="BW10" s="34"/>
      <c r="BX10" s="18"/>
      <c r="BY10" s="18"/>
      <c r="CA10" s="18"/>
      <c r="CB10" s="18"/>
      <c r="CC10" s="18"/>
      <c r="CE10" s="39" t="s">
        <v>71</v>
      </c>
      <c r="CF10" s="40"/>
      <c r="CG10" s="40"/>
      <c r="CI10" s="34" t="s">
        <v>72</v>
      </c>
      <c r="CJ10" s="41"/>
      <c r="CK10" s="18"/>
      <c r="CL10" s="22"/>
      <c r="CM10" s="34" t="s">
        <v>72</v>
      </c>
      <c r="CN10" s="41"/>
      <c r="CO10" s="18"/>
      <c r="CP10" s="22"/>
      <c r="CQ10" s="34" t="s">
        <v>72</v>
      </c>
      <c r="CR10" s="18"/>
      <c r="CS10" s="18"/>
      <c r="CT10" s="22"/>
      <c r="CU10" s="25" t="s">
        <v>73</v>
      </c>
      <c r="CV10" s="25"/>
      <c r="CW10" s="25"/>
      <c r="CX10" s="22"/>
      <c r="CY10" s="25" t="s">
        <v>74</v>
      </c>
      <c r="CZ10" s="25"/>
      <c r="DA10" s="25"/>
      <c r="DB10" s="22"/>
      <c r="DC10" s="25" t="s">
        <v>75</v>
      </c>
      <c r="DD10" s="25"/>
      <c r="DE10" s="25"/>
      <c r="DF10" s="22"/>
      <c r="DG10" s="25" t="s">
        <v>76</v>
      </c>
      <c r="DH10" s="25"/>
      <c r="DI10" s="25"/>
      <c r="DJ10" s="22"/>
      <c r="DK10" s="25" t="s">
        <v>77</v>
      </c>
      <c r="DL10" s="25"/>
      <c r="DM10" s="25"/>
      <c r="DN10" s="19"/>
      <c r="DO10" s="18"/>
      <c r="DP10" s="18"/>
      <c r="DQ10" s="18"/>
      <c r="DS10" s="18"/>
      <c r="DT10" s="18"/>
      <c r="DU10" s="18"/>
      <c r="DW10" s="42"/>
      <c r="DX10" s="42"/>
      <c r="DY10" s="42"/>
    </row>
    <row r="11" spans="1:130" x14ac:dyDescent="0.2">
      <c r="A11" t="s">
        <v>78</v>
      </c>
      <c r="C11" s="34"/>
      <c r="D11" s="18"/>
      <c r="E11" s="18"/>
      <c r="F11" s="19"/>
      <c r="G11" s="18"/>
      <c r="H11" s="18"/>
      <c r="I11" s="18"/>
      <c r="J11" s="19"/>
      <c r="K11" s="34"/>
      <c r="L11" s="18"/>
      <c r="M11" s="18"/>
      <c r="N11" s="19"/>
      <c r="O11" s="34"/>
      <c r="P11" s="18"/>
      <c r="Q11" s="18"/>
      <c r="R11" s="19"/>
      <c r="S11" s="18"/>
      <c r="T11" s="18"/>
      <c r="U11" s="18"/>
      <c r="W11" s="34"/>
      <c r="X11" s="18"/>
      <c r="Y11" s="18"/>
      <c r="Z11" s="19"/>
      <c r="AA11" s="34"/>
      <c r="AB11" s="18"/>
      <c r="AC11" s="18"/>
      <c r="AD11" s="19"/>
      <c r="AE11" s="34"/>
      <c r="AF11" s="18"/>
      <c r="AG11" s="18"/>
      <c r="AH11" s="19"/>
      <c r="AI11" s="18"/>
      <c r="AJ11" s="18"/>
      <c r="AK11" s="18"/>
      <c r="AM11" s="35"/>
      <c r="AN11" s="18"/>
      <c r="AO11" s="18"/>
      <c r="AQ11" s="43"/>
      <c r="AR11" s="43"/>
      <c r="AS11" s="43"/>
      <c r="AU11" s="43" t="s">
        <v>79</v>
      </c>
      <c r="AV11" s="43"/>
      <c r="AW11" s="43"/>
      <c r="AY11" s="43"/>
      <c r="AZ11" s="43"/>
      <c r="BA11" s="43"/>
      <c r="BC11" s="43"/>
      <c r="BD11" s="43"/>
      <c r="BE11" s="43"/>
      <c r="BG11" s="43" t="s">
        <v>80</v>
      </c>
      <c r="BH11" s="43"/>
      <c r="BI11" s="43"/>
      <c r="BK11" s="43"/>
      <c r="BL11" s="43"/>
      <c r="BM11" s="43"/>
      <c r="BO11" s="34"/>
      <c r="BP11" s="18"/>
      <c r="BQ11" s="18"/>
      <c r="BS11" s="34"/>
      <c r="BT11" s="18"/>
      <c r="BU11" s="18"/>
      <c r="BW11" s="34"/>
      <c r="BX11" s="18"/>
      <c r="BY11" s="18"/>
      <c r="CA11" s="18"/>
      <c r="CB11" s="18"/>
      <c r="CC11" s="18"/>
      <c r="CE11" s="34" t="s">
        <v>81</v>
      </c>
      <c r="CF11" s="18"/>
      <c r="CG11" s="18"/>
      <c r="CI11" s="34" t="s">
        <v>82</v>
      </c>
      <c r="CJ11" s="41"/>
      <c r="CK11" s="18"/>
      <c r="CL11" s="22"/>
      <c r="CM11" s="34" t="s">
        <v>82</v>
      </c>
      <c r="CN11" s="41"/>
      <c r="CO11" s="18"/>
      <c r="CP11" s="22"/>
      <c r="CQ11" s="34" t="s">
        <v>82</v>
      </c>
      <c r="CR11" s="18"/>
      <c r="CS11" s="18"/>
      <c r="CT11" s="22"/>
      <c r="CU11" s="25" t="s">
        <v>83</v>
      </c>
      <c r="CV11" s="25"/>
      <c r="CW11" s="25"/>
      <c r="CX11" s="22"/>
      <c r="CY11" s="25" t="s">
        <v>83</v>
      </c>
      <c r="CZ11" s="25"/>
      <c r="DA11" s="25"/>
      <c r="DB11" s="22"/>
      <c r="DC11" s="25" t="s">
        <v>83</v>
      </c>
      <c r="DD11" s="25"/>
      <c r="DE11" s="25"/>
      <c r="DF11" s="22"/>
      <c r="DG11" s="25" t="s">
        <v>83</v>
      </c>
      <c r="DH11" s="25"/>
      <c r="DI11" s="25"/>
      <c r="DJ11" s="22"/>
      <c r="DK11" s="25" t="s">
        <v>83</v>
      </c>
      <c r="DL11" s="25"/>
      <c r="DM11" s="25"/>
      <c r="DN11" s="19"/>
      <c r="DO11" s="18"/>
      <c r="DP11" s="18"/>
      <c r="DQ11" s="18"/>
      <c r="DS11" s="18"/>
      <c r="DT11" s="18"/>
      <c r="DU11" s="18"/>
      <c r="DW11" s="42"/>
      <c r="DX11" s="42"/>
      <c r="DY11" s="42"/>
    </row>
    <row r="12" spans="1:130" ht="12.75" customHeight="1" x14ac:dyDescent="0.2">
      <c r="A12" t="s">
        <v>84</v>
      </c>
      <c r="B12" s="44"/>
      <c r="C12" s="45" t="s">
        <v>85</v>
      </c>
      <c r="D12" s="45"/>
      <c r="E12" s="45"/>
      <c r="G12" s="45" t="s">
        <v>86</v>
      </c>
      <c r="H12" s="45"/>
      <c r="I12" s="45"/>
      <c r="K12" s="46" t="s">
        <v>87</v>
      </c>
      <c r="L12" s="46"/>
      <c r="M12" s="46"/>
      <c r="O12" s="46"/>
      <c r="P12" s="46"/>
      <c r="Q12" s="46"/>
      <c r="S12" s="47" t="s">
        <v>88</v>
      </c>
      <c r="T12" s="47"/>
      <c r="U12" s="47"/>
      <c r="V12" s="44"/>
      <c r="W12" s="46" t="s">
        <v>89</v>
      </c>
      <c r="X12" s="48"/>
      <c r="Y12" s="48"/>
      <c r="AA12" s="46" t="s">
        <v>90</v>
      </c>
      <c r="AB12" s="48"/>
      <c r="AC12" s="48"/>
      <c r="AE12" s="46" t="s">
        <v>91</v>
      </c>
      <c r="AF12" s="48"/>
      <c r="AG12" s="48"/>
      <c r="AI12" s="45" t="s">
        <v>92</v>
      </c>
      <c r="AJ12" s="45"/>
      <c r="AK12" s="45"/>
      <c r="AL12" s="44"/>
      <c r="AM12" s="46" t="s">
        <v>93</v>
      </c>
      <c r="AN12" s="46"/>
      <c r="AO12" s="46"/>
      <c r="AP12" s="44"/>
      <c r="AQ12" s="46" t="s">
        <v>94</v>
      </c>
      <c r="AR12" s="46"/>
      <c r="AS12" s="46"/>
      <c r="AT12" s="44"/>
      <c r="AU12" s="46" t="s">
        <v>95</v>
      </c>
      <c r="AV12" s="46"/>
      <c r="AW12" s="46"/>
      <c r="AX12" s="44"/>
      <c r="AY12" s="46" t="s">
        <v>96</v>
      </c>
      <c r="AZ12" s="46"/>
      <c r="BA12" s="46"/>
      <c r="BB12" s="44"/>
      <c r="BC12" s="46" t="s">
        <v>96</v>
      </c>
      <c r="BD12" s="46"/>
      <c r="BE12" s="46"/>
      <c r="BF12" s="44"/>
      <c r="BG12" s="46" t="s">
        <v>96</v>
      </c>
      <c r="BH12" s="46"/>
      <c r="BI12" s="46"/>
      <c r="BJ12" s="44"/>
      <c r="BK12" s="49"/>
      <c r="BL12" s="49"/>
      <c r="BM12" s="49"/>
      <c r="BN12" s="44"/>
      <c r="BO12" s="50"/>
      <c r="BP12" s="50"/>
      <c r="BQ12" s="50"/>
      <c r="BR12" s="44"/>
      <c r="BS12" s="51" t="s">
        <v>97</v>
      </c>
      <c r="BT12" s="51"/>
      <c r="BU12" s="51"/>
      <c r="BV12" s="44"/>
      <c r="BW12" s="51" t="s">
        <v>98</v>
      </c>
      <c r="BX12" s="51"/>
      <c r="BY12" s="51"/>
      <c r="BZ12" s="44"/>
      <c r="CA12" s="51" t="s">
        <v>99</v>
      </c>
      <c r="CB12" s="51"/>
      <c r="CC12" s="51"/>
      <c r="CD12" s="44"/>
      <c r="CE12" s="45" t="s">
        <v>100</v>
      </c>
      <c r="CF12" s="45"/>
      <c r="CG12" s="45"/>
      <c r="CH12" s="44"/>
      <c r="CI12" s="49" t="s">
        <v>101</v>
      </c>
      <c r="CJ12" s="49"/>
      <c r="CK12" s="49"/>
      <c r="CL12" s="44"/>
      <c r="CM12" s="49" t="s">
        <v>101</v>
      </c>
      <c r="CN12" s="49"/>
      <c r="CO12" s="49"/>
      <c r="CP12" s="44"/>
      <c r="CQ12" s="52" t="s">
        <v>102</v>
      </c>
      <c r="CR12" s="52"/>
      <c r="CS12" s="52"/>
      <c r="CT12" s="44"/>
      <c r="CU12" s="45" t="s">
        <v>103</v>
      </c>
      <c r="CV12" s="45"/>
      <c r="CW12" s="45"/>
      <c r="CX12" s="44"/>
      <c r="CY12" s="52" t="s">
        <v>104</v>
      </c>
      <c r="CZ12" s="52"/>
      <c r="DA12" s="52"/>
      <c r="DB12" s="44"/>
      <c r="DC12" s="45" t="s">
        <v>105</v>
      </c>
      <c r="DD12" s="45"/>
      <c r="DE12" s="45"/>
      <c r="DG12" s="45" t="s">
        <v>103</v>
      </c>
      <c r="DH12" s="45"/>
      <c r="DI12" s="45"/>
      <c r="DK12" s="45" t="s">
        <v>103</v>
      </c>
      <c r="DL12" s="45"/>
      <c r="DM12" s="45"/>
      <c r="DN12" s="44"/>
      <c r="DO12" s="53" t="s">
        <v>106</v>
      </c>
      <c r="DP12" s="53"/>
      <c r="DQ12" s="53"/>
      <c r="DR12" s="44"/>
      <c r="DS12" s="53" t="s">
        <v>107</v>
      </c>
      <c r="DT12" s="53"/>
      <c r="DU12" s="53"/>
      <c r="DV12" s="44"/>
      <c r="DW12" s="53" t="s">
        <v>108</v>
      </c>
      <c r="DX12" s="53"/>
      <c r="DY12" s="53"/>
      <c r="DZ12" s="44"/>
    </row>
    <row r="13" spans="1:130" x14ac:dyDescent="0.2">
      <c r="B13" s="44"/>
      <c r="C13" s="26"/>
      <c r="D13" s="26"/>
      <c r="E13" s="26"/>
      <c r="G13" s="26"/>
      <c r="H13" s="26"/>
      <c r="I13" s="26"/>
      <c r="K13" s="26"/>
      <c r="L13" s="26"/>
      <c r="M13" s="26"/>
      <c r="O13" s="26"/>
      <c r="P13" s="26"/>
      <c r="Q13" s="26"/>
      <c r="S13" s="54"/>
      <c r="T13" s="54"/>
      <c r="U13" s="54"/>
      <c r="V13" s="44"/>
      <c r="W13" s="26"/>
      <c r="X13" s="26"/>
      <c r="Y13" s="26"/>
      <c r="AA13" s="26"/>
      <c r="AB13" s="26"/>
      <c r="AC13" s="26"/>
      <c r="AE13" s="26"/>
      <c r="AF13" s="26"/>
      <c r="AG13" s="26"/>
      <c r="AI13" s="26"/>
      <c r="AJ13" s="26"/>
      <c r="AK13" s="26"/>
      <c r="AL13" s="44"/>
      <c r="AM13" s="26"/>
      <c r="AN13" s="26"/>
      <c r="AO13" s="26"/>
      <c r="AP13" s="44"/>
      <c r="AQ13" s="26"/>
      <c r="AR13" s="26"/>
      <c r="AS13" s="26"/>
      <c r="AT13" s="44"/>
      <c r="AU13" s="26"/>
      <c r="AV13" s="26"/>
      <c r="AW13" s="26"/>
      <c r="AX13" s="44"/>
      <c r="AY13" s="26"/>
      <c r="AZ13" s="26"/>
      <c r="BA13" s="26"/>
      <c r="BB13" s="44"/>
      <c r="BC13" s="26"/>
      <c r="BD13" s="26"/>
      <c r="BE13" s="26"/>
      <c r="BF13" s="44"/>
      <c r="BG13" s="26"/>
      <c r="BH13" s="26"/>
      <c r="BI13" s="26"/>
      <c r="BJ13" s="44"/>
      <c r="BK13" s="26"/>
      <c r="BL13" s="26"/>
      <c r="BM13" s="26"/>
      <c r="BN13" s="44"/>
      <c r="BO13" s="26"/>
      <c r="BP13" s="26"/>
      <c r="BQ13" s="26"/>
      <c r="BR13" s="44"/>
      <c r="BS13" s="54"/>
      <c r="BT13" s="54"/>
      <c r="BU13" s="54"/>
      <c r="BV13" s="44"/>
      <c r="BW13" s="54"/>
      <c r="BX13" s="54"/>
      <c r="BY13" s="54"/>
      <c r="BZ13" s="44"/>
      <c r="CA13" s="54"/>
      <c r="CB13" s="54"/>
      <c r="CC13" s="54"/>
      <c r="CD13" s="44"/>
      <c r="CE13" s="26"/>
      <c r="CF13" s="26"/>
      <c r="CG13" s="26"/>
      <c r="CH13" s="44"/>
      <c r="CI13" s="26"/>
      <c r="CJ13" s="26"/>
      <c r="CK13" s="26"/>
      <c r="CL13" s="44"/>
      <c r="CM13" s="26"/>
      <c r="CO13" s="26"/>
      <c r="CP13" s="44"/>
      <c r="CQ13" s="26"/>
      <c r="CR13" s="26"/>
      <c r="CS13" s="26"/>
      <c r="CT13" s="44"/>
      <c r="CU13" s="26"/>
      <c r="CV13" s="26"/>
      <c r="CW13" s="26"/>
      <c r="CX13" s="44"/>
      <c r="CY13" s="26"/>
      <c r="CZ13" s="26"/>
      <c r="DA13" s="26"/>
      <c r="DB13" s="44"/>
      <c r="DC13" s="26"/>
      <c r="DD13" s="26"/>
      <c r="DE13" s="26"/>
      <c r="DF13" s="44"/>
      <c r="DG13" s="26"/>
      <c r="DH13" s="26"/>
      <c r="DI13" s="26"/>
      <c r="DJ13" s="44"/>
      <c r="DK13" s="26"/>
      <c r="DL13" s="26"/>
      <c r="DM13" s="26"/>
      <c r="DN13" s="44"/>
      <c r="DO13" s="54"/>
      <c r="DP13" s="54"/>
      <c r="DQ13" s="54"/>
      <c r="DR13" s="44"/>
      <c r="DS13" s="54"/>
      <c r="DT13" s="54"/>
      <c r="DU13" s="54"/>
      <c r="DV13" s="44"/>
      <c r="DW13" s="54"/>
      <c r="DX13" s="54"/>
      <c r="DY13" s="54"/>
      <c r="DZ13" s="44"/>
    </row>
    <row r="14" spans="1:130" x14ac:dyDescent="0.2">
      <c r="B14" s="44"/>
      <c r="C14" s="55" t="s">
        <v>109</v>
      </c>
      <c r="D14" s="55" t="s">
        <v>110</v>
      </c>
      <c r="E14" s="55" t="s">
        <v>111</v>
      </c>
      <c r="G14" s="55" t="s">
        <v>109</v>
      </c>
      <c r="H14" s="55" t="s">
        <v>110</v>
      </c>
      <c r="I14" s="55" t="s">
        <v>111</v>
      </c>
      <c r="K14" s="55" t="s">
        <v>109</v>
      </c>
      <c r="L14" s="55" t="s">
        <v>110</v>
      </c>
      <c r="M14" s="55" t="s">
        <v>111</v>
      </c>
      <c r="O14" s="55"/>
      <c r="P14" s="55"/>
      <c r="Q14" s="55"/>
      <c r="S14" s="56" t="s">
        <v>109</v>
      </c>
      <c r="T14" s="56" t="s">
        <v>110</v>
      </c>
      <c r="U14" s="56" t="s">
        <v>111</v>
      </c>
      <c r="V14" s="44"/>
      <c r="W14" s="55" t="s">
        <v>109</v>
      </c>
      <c r="X14" s="55" t="s">
        <v>110</v>
      </c>
      <c r="Y14" s="55" t="s">
        <v>111</v>
      </c>
      <c r="AA14" s="55" t="s">
        <v>109</v>
      </c>
      <c r="AB14" s="55" t="s">
        <v>110</v>
      </c>
      <c r="AC14" s="55" t="s">
        <v>111</v>
      </c>
      <c r="AE14" s="55" t="s">
        <v>109</v>
      </c>
      <c r="AF14" s="55" t="s">
        <v>110</v>
      </c>
      <c r="AG14" s="55" t="s">
        <v>111</v>
      </c>
      <c r="AI14" s="55" t="s">
        <v>109</v>
      </c>
      <c r="AJ14" s="55" t="s">
        <v>110</v>
      </c>
      <c r="AK14" s="55" t="s">
        <v>111</v>
      </c>
      <c r="AL14" s="44"/>
      <c r="AM14" s="55" t="s">
        <v>109</v>
      </c>
      <c r="AN14" s="55" t="s">
        <v>110</v>
      </c>
      <c r="AO14" s="55" t="s">
        <v>111</v>
      </c>
      <c r="AP14" s="44"/>
      <c r="AQ14" s="55" t="s">
        <v>109</v>
      </c>
      <c r="AR14" s="55" t="s">
        <v>110</v>
      </c>
      <c r="AS14" s="55" t="s">
        <v>111</v>
      </c>
      <c r="AT14" s="44"/>
      <c r="AU14" s="55" t="s">
        <v>109</v>
      </c>
      <c r="AV14" s="55" t="s">
        <v>110</v>
      </c>
      <c r="AW14" s="55" t="s">
        <v>111</v>
      </c>
      <c r="AX14" s="44"/>
      <c r="AY14" s="55" t="s">
        <v>109</v>
      </c>
      <c r="AZ14" s="55" t="s">
        <v>110</v>
      </c>
      <c r="BA14" s="55" t="s">
        <v>111</v>
      </c>
      <c r="BB14" s="44"/>
      <c r="BC14" s="55" t="s">
        <v>109</v>
      </c>
      <c r="BD14" s="55" t="s">
        <v>110</v>
      </c>
      <c r="BE14" s="55" t="s">
        <v>111</v>
      </c>
      <c r="BF14" s="44"/>
      <c r="BG14" s="55" t="s">
        <v>109</v>
      </c>
      <c r="BH14" s="55" t="s">
        <v>110</v>
      </c>
      <c r="BI14" s="55" t="s">
        <v>111</v>
      </c>
      <c r="BJ14" s="44"/>
      <c r="BK14" s="55"/>
      <c r="BL14" s="55"/>
      <c r="BM14" s="55"/>
      <c r="BN14" s="44"/>
      <c r="BO14" s="55"/>
      <c r="BP14" s="55"/>
      <c r="BQ14" s="55"/>
      <c r="BR14" s="44"/>
      <c r="BS14" s="56" t="s">
        <v>109</v>
      </c>
      <c r="BT14" s="56" t="s">
        <v>110</v>
      </c>
      <c r="BU14" s="56" t="s">
        <v>111</v>
      </c>
      <c r="BV14" s="44"/>
      <c r="BW14" s="56" t="s">
        <v>109</v>
      </c>
      <c r="BX14" s="56" t="s">
        <v>110</v>
      </c>
      <c r="BY14" s="56" t="s">
        <v>111</v>
      </c>
      <c r="BZ14" s="44"/>
      <c r="CA14" s="56" t="s">
        <v>109</v>
      </c>
      <c r="CB14" s="56" t="s">
        <v>110</v>
      </c>
      <c r="CC14" s="56" t="s">
        <v>111</v>
      </c>
      <c r="CD14" s="44"/>
      <c r="CE14" s="55" t="s">
        <v>109</v>
      </c>
      <c r="CF14" s="55" t="s">
        <v>110</v>
      </c>
      <c r="CG14" s="55" t="s">
        <v>111</v>
      </c>
      <c r="CH14" s="44"/>
      <c r="CI14" s="55" t="s">
        <v>109</v>
      </c>
      <c r="CJ14" s="55" t="s">
        <v>110</v>
      </c>
      <c r="CK14" s="55" t="s">
        <v>111</v>
      </c>
      <c r="CL14" s="44"/>
      <c r="CM14" s="55" t="s">
        <v>109</v>
      </c>
      <c r="CN14" s="57" t="s">
        <v>110</v>
      </c>
      <c r="CO14" s="55" t="s">
        <v>111</v>
      </c>
      <c r="CP14" s="44"/>
      <c r="CQ14" s="55" t="s">
        <v>109</v>
      </c>
      <c r="CR14" s="55" t="s">
        <v>110</v>
      </c>
      <c r="CS14" s="55" t="s">
        <v>111</v>
      </c>
      <c r="CT14" s="44"/>
      <c r="CU14" s="55" t="s">
        <v>109</v>
      </c>
      <c r="CV14" s="55" t="s">
        <v>110</v>
      </c>
      <c r="CW14" s="55" t="s">
        <v>111</v>
      </c>
      <c r="CX14" s="44"/>
      <c r="CY14" s="55" t="s">
        <v>109</v>
      </c>
      <c r="CZ14" s="55" t="s">
        <v>110</v>
      </c>
      <c r="DA14" s="55" t="s">
        <v>111</v>
      </c>
      <c r="DB14" s="44"/>
      <c r="DC14" s="55" t="s">
        <v>109</v>
      </c>
      <c r="DD14" s="55" t="s">
        <v>110</v>
      </c>
      <c r="DE14" s="55" t="s">
        <v>111</v>
      </c>
      <c r="DF14" s="44"/>
      <c r="DG14" s="55" t="s">
        <v>109</v>
      </c>
      <c r="DH14" s="55" t="s">
        <v>110</v>
      </c>
      <c r="DI14" s="55" t="s">
        <v>111</v>
      </c>
      <c r="DJ14" s="44"/>
      <c r="DK14" s="55" t="s">
        <v>109</v>
      </c>
      <c r="DL14" s="55" t="s">
        <v>110</v>
      </c>
      <c r="DM14" s="55" t="s">
        <v>111</v>
      </c>
      <c r="DN14" s="44"/>
      <c r="DO14" s="56" t="s">
        <v>109</v>
      </c>
      <c r="DP14" s="56" t="s">
        <v>110</v>
      </c>
      <c r="DQ14" s="56" t="s">
        <v>111</v>
      </c>
      <c r="DR14" s="44"/>
      <c r="DS14" s="56" t="s">
        <v>109</v>
      </c>
      <c r="DT14" s="56" t="s">
        <v>110</v>
      </c>
      <c r="DU14" s="56" t="s">
        <v>111</v>
      </c>
      <c r="DV14" s="44"/>
      <c r="DW14" s="56" t="s">
        <v>109</v>
      </c>
      <c r="DX14" s="56" t="s">
        <v>110</v>
      </c>
      <c r="DY14" s="56" t="s">
        <v>111</v>
      </c>
      <c r="DZ14" s="44"/>
    </row>
    <row r="15" spans="1:130" x14ac:dyDescent="0.2">
      <c r="A15" s="58">
        <v>2023</v>
      </c>
      <c r="B15" s="44"/>
      <c r="C15" s="26">
        <f t="shared" ref="C15:C23" si="0">D15+E15</f>
        <v>310518</v>
      </c>
      <c r="D15" s="26">
        <v>80518</v>
      </c>
      <c r="E15" s="26">
        <v>230000</v>
      </c>
      <c r="F15" s="44"/>
      <c r="G15" s="26"/>
      <c r="H15" s="26"/>
      <c r="I15" s="26"/>
      <c r="J15" s="44"/>
      <c r="K15" s="26"/>
      <c r="L15" s="26"/>
      <c r="M15" s="26"/>
      <c r="N15" s="44"/>
      <c r="O15" s="26"/>
      <c r="P15" s="26"/>
      <c r="Q15" s="26"/>
      <c r="R15" s="44"/>
      <c r="S15" s="54">
        <f t="shared" ref="S15:S23" si="1">T15+U15</f>
        <v>310518</v>
      </c>
      <c r="T15" s="54">
        <f t="shared" ref="T15:U23" si="2">SUM(P15,L15,H15,D15)</f>
        <v>80518</v>
      </c>
      <c r="U15" s="54">
        <f t="shared" si="2"/>
        <v>230000</v>
      </c>
      <c r="V15" s="44"/>
      <c r="W15" s="26"/>
      <c r="X15" s="26"/>
      <c r="Y15" s="26"/>
      <c r="Z15" s="44"/>
      <c r="AA15" s="26"/>
      <c r="AB15" s="26"/>
      <c r="AC15" s="26"/>
      <c r="AD15" s="44"/>
      <c r="AE15" s="26"/>
      <c r="AF15" s="26"/>
      <c r="AG15" s="26"/>
      <c r="AH15" s="44"/>
      <c r="AI15" s="26"/>
      <c r="AJ15" s="26"/>
      <c r="AK15" s="26"/>
      <c r="AL15" s="44"/>
      <c r="AM15" s="26"/>
      <c r="AN15" s="26"/>
      <c r="AO15" s="26"/>
      <c r="AP15" s="44"/>
      <c r="AQ15" s="26"/>
      <c r="AR15" s="26"/>
      <c r="AS15" s="26"/>
      <c r="AT15" s="44"/>
      <c r="AU15" s="26">
        <f t="shared" ref="AU15:AU27" si="3">SUM(AV15:AW15)</f>
        <v>73031.86</v>
      </c>
      <c r="AV15" s="26">
        <v>26242.86</v>
      </c>
      <c r="AW15" s="26">
        <v>46789</v>
      </c>
      <c r="AX15" s="44"/>
      <c r="AY15" s="26">
        <f>AZ15+BA15</f>
        <v>60158</v>
      </c>
      <c r="AZ15" s="26">
        <v>3948</v>
      </c>
      <c r="BA15" s="26">
        <v>56210</v>
      </c>
      <c r="BB15" s="44"/>
      <c r="BC15" s="26">
        <f>SUM(BD15:BE15)</f>
        <v>50753</v>
      </c>
      <c r="BD15" s="26">
        <v>7509</v>
      </c>
      <c r="BE15" s="59">
        <v>43244</v>
      </c>
      <c r="BF15" s="44"/>
      <c r="BG15" s="26">
        <f t="shared" ref="BG15:BG25" si="4">SUM(BH15:BI15)</f>
        <v>39256</v>
      </c>
      <c r="BH15" s="26">
        <v>14499</v>
      </c>
      <c r="BI15" s="26">
        <v>24757</v>
      </c>
      <c r="BJ15" s="44"/>
      <c r="BK15" s="26"/>
      <c r="BL15" s="26"/>
      <c r="BM15" s="59"/>
      <c r="BN15" s="44"/>
      <c r="BO15" s="26"/>
      <c r="BP15" s="26"/>
      <c r="BQ15" s="26"/>
      <c r="BR15" s="44"/>
      <c r="BS15" s="54"/>
      <c r="BT15" s="54"/>
      <c r="BU15" s="54"/>
      <c r="BV15" s="44"/>
      <c r="BW15" s="54">
        <f t="shared" ref="BW15:BW24" si="5">SUM(BX15:BY15)</f>
        <v>150167</v>
      </c>
      <c r="BX15" s="54">
        <f>BH16+AZ15+BD16</f>
        <v>23131</v>
      </c>
      <c r="BY15" s="54">
        <f>BI16+BA15+BE16</f>
        <v>127036</v>
      </c>
      <c r="BZ15" s="44"/>
      <c r="CA15" s="54">
        <f t="shared" ref="CA15:CA27" si="6">SUM(CB15:CC15)</f>
        <v>526425.86</v>
      </c>
      <c r="CB15" s="54">
        <f t="shared" ref="CB15:CC24" si="7">+BX15+T16+AV15</f>
        <v>122600.86</v>
      </c>
      <c r="CC15" s="54">
        <f t="shared" si="7"/>
        <v>403825</v>
      </c>
      <c r="CD15" s="44"/>
      <c r="CE15" s="26">
        <f t="shared" ref="CE15:CE23" si="8">CF15+CG15</f>
        <v>31000</v>
      </c>
      <c r="CF15" s="26">
        <f>6000</f>
        <v>6000</v>
      </c>
      <c r="CG15" s="26">
        <v>25000</v>
      </c>
      <c r="CH15" s="44"/>
      <c r="CI15" s="26">
        <f t="shared" ref="CI15:CI23" si="9">CJ15+CK15</f>
        <v>9794.74</v>
      </c>
      <c r="CJ15" s="26">
        <f>3116.51+6678.23</f>
        <v>9794.74</v>
      </c>
      <c r="CK15" s="26"/>
      <c r="CL15" s="44"/>
      <c r="CM15" s="26">
        <f>CN15+CO15</f>
        <v>106987.41</v>
      </c>
      <c r="CN15" s="2">
        <f>25100.73+21886.68</f>
        <v>46987.41</v>
      </c>
      <c r="CO15" s="60">
        <v>60000</v>
      </c>
      <c r="CP15" s="44"/>
      <c r="CQ15" s="61">
        <f t="shared" ref="CQ15:CQ29" si="10">CR15+CS15</f>
        <v>479748</v>
      </c>
      <c r="CR15" s="62">
        <v>144748</v>
      </c>
      <c r="CS15" s="63">
        <v>335000</v>
      </c>
      <c r="CT15" s="44"/>
      <c r="CU15" s="61">
        <f t="shared" ref="CU15:CU27" si="11">CV15+CW15</f>
        <v>381722</v>
      </c>
      <c r="CV15" s="62">
        <v>101722</v>
      </c>
      <c r="CW15" s="63">
        <v>280000</v>
      </c>
      <c r="CX15" s="44"/>
      <c r="CY15" s="61">
        <f t="shared" ref="CY15:CY28" si="12">CZ15+DA15</f>
        <v>252500</v>
      </c>
      <c r="CZ15" s="62">
        <f>37375+35125</f>
        <v>72500</v>
      </c>
      <c r="DA15" s="63">
        <v>180000</v>
      </c>
      <c r="DB15" s="44"/>
      <c r="DC15" s="61">
        <f t="shared" ref="DC15:DC39" si="13">+DD15+DE15</f>
        <v>165593</v>
      </c>
      <c r="DD15" s="64">
        <v>75593</v>
      </c>
      <c r="DE15" s="29">
        <v>90000</v>
      </c>
      <c r="DF15" s="44"/>
      <c r="DG15" s="61">
        <f t="shared" ref="DG15:DG40" si="14">+DH15+DI15</f>
        <v>150481</v>
      </c>
      <c r="DH15" s="65">
        <v>70481</v>
      </c>
      <c r="DI15" s="63">
        <v>80000</v>
      </c>
      <c r="DJ15" s="44"/>
      <c r="DK15" s="61">
        <f t="shared" ref="DK15:DK40" si="15">+DL15+DM15</f>
        <v>85852.78</v>
      </c>
      <c r="DL15" s="64">
        <f>17426.39*2</f>
        <v>34852.78</v>
      </c>
      <c r="DM15" s="29">
        <v>51000</v>
      </c>
      <c r="DN15" s="44"/>
      <c r="DO15" s="54">
        <f>DP15+DQ15</f>
        <v>596530.15</v>
      </c>
      <c r="DP15" s="54">
        <f>CN15+CR15+CJ15</f>
        <v>201530.15</v>
      </c>
      <c r="DQ15" s="54">
        <f>CO15+CS15+CK15</f>
        <v>395000</v>
      </c>
      <c r="DR15" s="44"/>
      <c r="DS15" s="54">
        <f t="shared" ref="DS15:DS40" si="16">DT15+DU15</f>
        <v>1036148.78</v>
      </c>
      <c r="DT15" s="54">
        <f>SUM(CV15,DL15,DH15,DD15,CZ15)</f>
        <v>355148.78</v>
      </c>
      <c r="DU15" s="54">
        <f>SUM(CW15,DM15,DI15,DE15,DA15)</f>
        <v>681000</v>
      </c>
      <c r="DV15" s="44"/>
      <c r="DW15" s="54">
        <f t="shared" ref="DW15:DW43" si="17">SUM(DX15:DY15)</f>
        <v>1663678.9300000002</v>
      </c>
      <c r="DX15" s="54">
        <f>SUM(DP15,DT15,CF15)</f>
        <v>562678.93000000005</v>
      </c>
      <c r="DY15" s="54">
        <f>SUM(DQ15,DU15,CG15)</f>
        <v>1101000</v>
      </c>
      <c r="DZ15" s="44"/>
    </row>
    <row r="16" spans="1:130" x14ac:dyDescent="0.2">
      <c r="A16" s="58">
        <v>2024</v>
      </c>
      <c r="B16" s="44"/>
      <c r="C16" s="26">
        <f t="shared" si="0"/>
        <v>303227</v>
      </c>
      <c r="D16" s="26">
        <v>73227</v>
      </c>
      <c r="E16" s="26">
        <v>230000</v>
      </c>
      <c r="F16" s="44"/>
      <c r="G16" s="26"/>
      <c r="H16" s="26"/>
      <c r="I16" s="26"/>
      <c r="J16" s="44"/>
      <c r="K16" s="26"/>
      <c r="L16" s="26"/>
      <c r="M16" s="26"/>
      <c r="N16" s="44"/>
      <c r="O16" s="26"/>
      <c r="P16" s="26"/>
      <c r="Q16" s="26"/>
      <c r="R16" s="44"/>
      <c r="S16" s="54">
        <f t="shared" si="1"/>
        <v>303227</v>
      </c>
      <c r="T16" s="54">
        <f t="shared" si="2"/>
        <v>73227</v>
      </c>
      <c r="U16" s="54">
        <f t="shared" si="2"/>
        <v>230000</v>
      </c>
      <c r="V16" s="44"/>
      <c r="W16" s="26"/>
      <c r="X16" s="26"/>
      <c r="Y16" s="26"/>
      <c r="Z16" s="44"/>
      <c r="AA16" s="26"/>
      <c r="AB16" s="26"/>
      <c r="AC16" s="26"/>
      <c r="AD16" s="44"/>
      <c r="AE16" s="26"/>
      <c r="AF16" s="26"/>
      <c r="AG16" s="26"/>
      <c r="AH16" s="44"/>
      <c r="AI16" s="26"/>
      <c r="AJ16" s="26"/>
      <c r="AK16" s="26"/>
      <c r="AL16" s="44"/>
      <c r="AM16" s="26"/>
      <c r="AN16" s="26"/>
      <c r="AO16" s="26"/>
      <c r="AP16" s="44"/>
      <c r="AQ16" s="26"/>
      <c r="AR16" s="26"/>
      <c r="AS16" s="26"/>
      <c r="AT16" s="44"/>
      <c r="AU16" s="26">
        <f t="shared" si="3"/>
        <v>73033</v>
      </c>
      <c r="AV16" s="26">
        <v>24564</v>
      </c>
      <c r="AW16" s="26">
        <v>48469</v>
      </c>
      <c r="AX16" s="44"/>
      <c r="AY16" s="26">
        <f>AZ16+BA16</f>
        <v>60159</v>
      </c>
      <c r="AZ16" s="26">
        <v>2007</v>
      </c>
      <c r="BA16" s="26">
        <v>58152</v>
      </c>
      <c r="BB16" s="44"/>
      <c r="BC16" s="26">
        <f>SUM(BD16:BE16)</f>
        <v>50753</v>
      </c>
      <c r="BD16" s="26">
        <v>5743</v>
      </c>
      <c r="BE16" s="59">
        <v>45010</v>
      </c>
      <c r="BF16" s="44"/>
      <c r="BG16" s="26">
        <f t="shared" si="4"/>
        <v>39256</v>
      </c>
      <c r="BH16" s="26">
        <v>13440</v>
      </c>
      <c r="BI16" s="26">
        <v>25816</v>
      </c>
      <c r="BJ16" s="44"/>
      <c r="BK16" s="26"/>
      <c r="BL16" s="26"/>
      <c r="BM16" s="59"/>
      <c r="BN16" s="44"/>
      <c r="BO16" s="26"/>
      <c r="BP16" s="26"/>
      <c r="BQ16" s="26"/>
      <c r="BR16" s="44"/>
      <c r="BS16" s="54">
        <f>SUM(BT16:BU16)</f>
        <v>110911</v>
      </c>
      <c r="BT16" s="54">
        <f>AZ15+BD16</f>
        <v>9691</v>
      </c>
      <c r="BU16" s="54">
        <f>BA15+BE16</f>
        <v>101220</v>
      </c>
      <c r="BV16" s="44"/>
      <c r="BW16" s="54">
        <f t="shared" si="5"/>
        <v>150168</v>
      </c>
      <c r="BX16" s="54">
        <f>BH17+AZ16+BD17</f>
        <v>18247</v>
      </c>
      <c r="BY16" s="54">
        <f>BI17+BA16+BE17</f>
        <v>131921</v>
      </c>
      <c r="BZ16" s="44"/>
      <c r="CA16" s="54">
        <f t="shared" si="6"/>
        <v>563424</v>
      </c>
      <c r="CB16" s="54">
        <f t="shared" si="7"/>
        <v>108034</v>
      </c>
      <c r="CC16" s="54">
        <f t="shared" si="7"/>
        <v>455390</v>
      </c>
      <c r="CD16" s="44"/>
      <c r="CE16" s="26">
        <f t="shared" si="8"/>
        <v>30375</v>
      </c>
      <c r="CF16" s="26">
        <f>2687.5*2</f>
        <v>5375</v>
      </c>
      <c r="CG16" s="26">
        <v>25000</v>
      </c>
      <c r="CH16" s="44"/>
      <c r="CI16" s="26">
        <f t="shared" si="9"/>
        <v>82612.709999999992</v>
      </c>
      <c r="CJ16" s="26">
        <f>6678.23+5934.48</f>
        <v>12612.71</v>
      </c>
      <c r="CK16" s="26">
        <v>70000</v>
      </c>
      <c r="CL16" s="44"/>
      <c r="CM16" s="26">
        <f t="shared" ref="CM16:CM41" si="18">CN16+CO16</f>
        <v>103135.86</v>
      </c>
      <c r="CN16" s="2">
        <f>21886.68+21249.18</f>
        <v>43135.86</v>
      </c>
      <c r="CO16" s="60">
        <v>60000</v>
      </c>
      <c r="CP16" s="44"/>
      <c r="CQ16" s="61">
        <f t="shared" si="10"/>
        <v>476311</v>
      </c>
      <c r="CR16" s="62">
        <v>136311</v>
      </c>
      <c r="CS16" s="63">
        <v>340000</v>
      </c>
      <c r="CT16" s="44"/>
      <c r="CU16" s="61">
        <f t="shared" si="11"/>
        <v>379660</v>
      </c>
      <c r="CV16" s="62">
        <v>94660</v>
      </c>
      <c r="CW16" s="63">
        <v>285000</v>
      </c>
      <c r="CX16" s="44"/>
      <c r="CY16" s="61">
        <f t="shared" si="12"/>
        <v>252937.5</v>
      </c>
      <c r="CZ16" s="62">
        <f>35125+32812.5</f>
        <v>67937.5</v>
      </c>
      <c r="DA16" s="63">
        <v>185000</v>
      </c>
      <c r="DB16" s="44"/>
      <c r="DC16" s="61">
        <f t="shared" si="13"/>
        <v>163343</v>
      </c>
      <c r="DD16" s="64">
        <v>73343</v>
      </c>
      <c r="DE16" s="29">
        <v>90000</v>
      </c>
      <c r="DF16" s="44"/>
      <c r="DG16" s="61">
        <f t="shared" si="14"/>
        <v>153419</v>
      </c>
      <c r="DH16" s="65">
        <v>68419</v>
      </c>
      <c r="DI16" s="63">
        <v>85000</v>
      </c>
      <c r="DJ16" s="44"/>
      <c r="DK16" s="61">
        <f t="shared" si="15"/>
        <v>84832.78</v>
      </c>
      <c r="DL16" s="64">
        <f>16916.39*2</f>
        <v>33832.78</v>
      </c>
      <c r="DM16" s="29">
        <v>51000</v>
      </c>
      <c r="DN16" s="44"/>
      <c r="DO16" s="54">
        <f t="shared" ref="DO16:DO46" si="19">DP16+DQ16</f>
        <v>662059.56999999995</v>
      </c>
      <c r="DP16" s="54">
        <f t="shared" ref="DP16:DQ46" si="20">CN16+CR16+CJ16</f>
        <v>192059.56999999998</v>
      </c>
      <c r="DQ16" s="54">
        <f t="shared" si="20"/>
        <v>470000</v>
      </c>
      <c r="DR16" s="44"/>
      <c r="DS16" s="54">
        <f t="shared" si="16"/>
        <v>1034192.28</v>
      </c>
      <c r="DT16" s="54">
        <f t="shared" ref="DT16:DU40" si="21">SUM(CV16,DL16,DH16,DD16,CZ16)</f>
        <v>338192.28</v>
      </c>
      <c r="DU16" s="54">
        <f t="shared" si="21"/>
        <v>696000</v>
      </c>
      <c r="DV16" s="44"/>
      <c r="DW16" s="54">
        <f t="shared" si="17"/>
        <v>1726626.85</v>
      </c>
      <c r="DX16" s="54">
        <f t="shared" ref="DX16:DY46" si="22">SUM(DP16,DT16,CF16)</f>
        <v>535626.85</v>
      </c>
      <c r="DY16" s="54">
        <f t="shared" si="22"/>
        <v>1191000</v>
      </c>
      <c r="DZ16" s="44"/>
    </row>
    <row r="17" spans="1:130" x14ac:dyDescent="0.2">
      <c r="A17" s="58">
        <v>2025</v>
      </c>
      <c r="B17" s="44"/>
      <c r="C17" s="26">
        <f t="shared" si="0"/>
        <v>340223</v>
      </c>
      <c r="D17" s="26">
        <v>65223</v>
      </c>
      <c r="E17" s="26">
        <v>275000</v>
      </c>
      <c r="F17" s="44"/>
      <c r="G17" s="66" t="s">
        <v>112</v>
      </c>
      <c r="H17" s="66"/>
      <c r="I17" s="66"/>
      <c r="J17" s="44"/>
      <c r="K17" s="26"/>
      <c r="L17" s="26"/>
      <c r="M17" s="26"/>
      <c r="N17" s="44"/>
      <c r="O17" s="26"/>
      <c r="P17" s="26"/>
      <c r="Q17" s="26"/>
      <c r="R17" s="44"/>
      <c r="S17" s="54">
        <f t="shared" si="1"/>
        <v>340223</v>
      </c>
      <c r="T17" s="54">
        <f t="shared" si="2"/>
        <v>65223</v>
      </c>
      <c r="U17" s="54">
        <f t="shared" si="2"/>
        <v>275000</v>
      </c>
      <c r="V17" s="44"/>
      <c r="W17" s="26"/>
      <c r="X17" s="26"/>
      <c r="Y17" s="26"/>
      <c r="Z17" s="44"/>
      <c r="AA17" s="26"/>
      <c r="AB17" s="26"/>
      <c r="AC17" s="26"/>
      <c r="AD17" s="44"/>
      <c r="AE17" s="26"/>
      <c r="AF17" s="26"/>
      <c r="AG17" s="26"/>
      <c r="AH17" s="44"/>
      <c r="AI17" s="26"/>
      <c r="AJ17" s="26"/>
      <c r="AK17" s="26"/>
      <c r="AL17" s="44"/>
      <c r="AM17" s="26"/>
      <c r="AN17" s="26"/>
      <c r="AO17" s="26"/>
      <c r="AP17" s="44"/>
      <c r="AQ17" s="26"/>
      <c r="AR17" s="26"/>
      <c r="AS17" s="26"/>
      <c r="AT17" s="44"/>
      <c r="AU17" s="26">
        <f t="shared" si="3"/>
        <v>73033</v>
      </c>
      <c r="AV17" s="26">
        <v>22887</v>
      </c>
      <c r="AW17" s="26">
        <v>50146</v>
      </c>
      <c r="AX17" s="44"/>
      <c r="BB17" s="44"/>
      <c r="BC17" s="26">
        <f>SUM(BD17:BE17)</f>
        <v>50753</v>
      </c>
      <c r="BD17" s="26">
        <v>3905</v>
      </c>
      <c r="BE17" s="59">
        <v>46848</v>
      </c>
      <c r="BF17" s="44"/>
      <c r="BG17" s="26">
        <f t="shared" si="4"/>
        <v>39256</v>
      </c>
      <c r="BH17" s="26">
        <v>12335</v>
      </c>
      <c r="BI17" s="26">
        <v>26921</v>
      </c>
      <c r="BJ17" s="44"/>
      <c r="BK17" s="26"/>
      <c r="BL17" s="26"/>
      <c r="BM17" s="59"/>
      <c r="BN17" s="44"/>
      <c r="BO17" s="26"/>
      <c r="BP17" s="26"/>
      <c r="BQ17" s="26"/>
      <c r="BR17" s="44"/>
      <c r="BS17" s="54">
        <f>SUM(BT17:BU17)</f>
        <v>110912</v>
      </c>
      <c r="BT17" s="54">
        <f>AZ16+BD17</f>
        <v>5912</v>
      </c>
      <c r="BU17" s="54">
        <f>BA16+BE17</f>
        <v>105000</v>
      </c>
      <c r="BV17" s="44"/>
      <c r="BW17" s="54">
        <f t="shared" si="5"/>
        <v>90007</v>
      </c>
      <c r="BX17" s="54">
        <f t="shared" ref="BX17:BY24" si="23">BH18+AZ18+BD18</f>
        <v>13173</v>
      </c>
      <c r="BY17" s="54">
        <f t="shared" si="23"/>
        <v>76834</v>
      </c>
      <c r="BZ17" s="44"/>
      <c r="CA17" s="54">
        <f t="shared" si="6"/>
        <v>494545</v>
      </c>
      <c r="CB17" s="54">
        <f t="shared" si="7"/>
        <v>92565</v>
      </c>
      <c r="CC17" s="54">
        <f t="shared" si="7"/>
        <v>401980</v>
      </c>
      <c r="CD17" s="44"/>
      <c r="CE17" s="26">
        <f t="shared" si="8"/>
        <v>29750</v>
      </c>
      <c r="CF17" s="26">
        <f>2375*2</f>
        <v>4750</v>
      </c>
      <c r="CG17" s="26">
        <v>25000</v>
      </c>
      <c r="CH17" s="44"/>
      <c r="CI17" s="26">
        <f t="shared" si="9"/>
        <v>86072.08</v>
      </c>
      <c r="CJ17" s="26">
        <f>5934.48+5137.6</f>
        <v>11072.08</v>
      </c>
      <c r="CK17" s="26">
        <v>75000</v>
      </c>
      <c r="CL17" s="44"/>
      <c r="CM17" s="26">
        <f t="shared" si="18"/>
        <v>101860.86</v>
      </c>
      <c r="CN17" s="2">
        <f>21249.18+20611.68</f>
        <v>41860.86</v>
      </c>
      <c r="CO17" s="60">
        <v>60000</v>
      </c>
      <c r="CP17" s="44"/>
      <c r="CQ17" s="61">
        <f t="shared" si="10"/>
        <v>477686</v>
      </c>
      <c r="CR17" s="62">
        <v>127686</v>
      </c>
      <c r="CS17" s="63">
        <v>350000</v>
      </c>
      <c r="CT17" s="44"/>
      <c r="CU17" s="61">
        <f t="shared" si="11"/>
        <v>377472</v>
      </c>
      <c r="CV17" s="62">
        <v>87472</v>
      </c>
      <c r="CW17" s="63">
        <v>290000</v>
      </c>
      <c r="CX17" s="44"/>
      <c r="CY17" s="61">
        <f t="shared" si="12"/>
        <v>253250</v>
      </c>
      <c r="CZ17" s="62">
        <f>32812.5+30437.5</f>
        <v>63250</v>
      </c>
      <c r="DA17" s="63">
        <v>190000</v>
      </c>
      <c r="DB17" s="44"/>
      <c r="DC17" s="61">
        <f t="shared" si="13"/>
        <v>166030</v>
      </c>
      <c r="DD17" s="64">
        <v>71030</v>
      </c>
      <c r="DE17" s="29">
        <v>95000</v>
      </c>
      <c r="DF17" s="44"/>
      <c r="DG17" s="61">
        <f t="shared" si="14"/>
        <v>151294</v>
      </c>
      <c r="DH17" s="65">
        <v>66294</v>
      </c>
      <c r="DI17" s="63">
        <v>85000</v>
      </c>
      <c r="DJ17" s="44"/>
      <c r="DK17" s="61">
        <f t="shared" si="15"/>
        <v>83812.78</v>
      </c>
      <c r="DL17" s="64">
        <f>16406.39*2</f>
        <v>32812.78</v>
      </c>
      <c r="DM17" s="29">
        <v>51000</v>
      </c>
      <c r="DN17" s="44"/>
      <c r="DO17" s="54">
        <f t="shared" si="19"/>
        <v>665618.93999999994</v>
      </c>
      <c r="DP17" s="54">
        <f t="shared" si="20"/>
        <v>180618.93999999997</v>
      </c>
      <c r="DQ17" s="54">
        <f t="shared" si="20"/>
        <v>485000</v>
      </c>
      <c r="DR17" s="44"/>
      <c r="DS17" s="54">
        <f t="shared" si="16"/>
        <v>1031858.78</v>
      </c>
      <c r="DT17" s="54">
        <f t="shared" si="21"/>
        <v>320858.78000000003</v>
      </c>
      <c r="DU17" s="54">
        <f t="shared" si="21"/>
        <v>711000</v>
      </c>
      <c r="DV17" s="44"/>
      <c r="DW17" s="54">
        <f t="shared" si="17"/>
        <v>1727227.72</v>
      </c>
      <c r="DX17" s="54">
        <f t="shared" si="22"/>
        <v>506227.72</v>
      </c>
      <c r="DY17" s="54">
        <f t="shared" si="22"/>
        <v>1221000</v>
      </c>
      <c r="DZ17" s="44"/>
    </row>
    <row r="18" spans="1:130" x14ac:dyDescent="0.2">
      <c r="A18" s="58">
        <v>2026</v>
      </c>
      <c r="B18" s="44"/>
      <c r="C18" s="26">
        <f t="shared" si="0"/>
        <v>331505</v>
      </c>
      <c r="D18" s="26">
        <v>56505</v>
      </c>
      <c r="E18" s="26">
        <v>275000</v>
      </c>
      <c r="F18" s="44"/>
      <c r="G18" s="26"/>
      <c r="H18" s="26"/>
      <c r="I18" s="26"/>
      <c r="J18" s="44"/>
      <c r="K18" s="26"/>
      <c r="L18" s="26"/>
      <c r="M18" s="26"/>
      <c r="N18" s="44"/>
      <c r="O18" s="26"/>
      <c r="P18" s="26"/>
      <c r="Q18" s="26"/>
      <c r="R18" s="44"/>
      <c r="S18" s="54">
        <f t="shared" si="1"/>
        <v>331505</v>
      </c>
      <c r="T18" s="54">
        <f t="shared" si="2"/>
        <v>56505</v>
      </c>
      <c r="U18" s="54">
        <f t="shared" si="2"/>
        <v>275000</v>
      </c>
      <c r="V18" s="44"/>
      <c r="W18" s="26"/>
      <c r="X18" s="26"/>
      <c r="Y18" s="26"/>
      <c r="Z18" s="44"/>
      <c r="AA18" s="26"/>
      <c r="AB18" s="26"/>
      <c r="AC18" s="26"/>
      <c r="AD18" s="44"/>
      <c r="AE18" s="26"/>
      <c r="AF18" s="26"/>
      <c r="AG18" s="26"/>
      <c r="AH18" s="44"/>
      <c r="AI18" s="26"/>
      <c r="AJ18" s="26"/>
      <c r="AK18" s="26"/>
      <c r="AL18" s="44"/>
      <c r="AM18" s="26"/>
      <c r="AN18" s="26"/>
      <c r="AO18" s="26"/>
      <c r="AP18" s="44"/>
      <c r="AQ18" s="26"/>
      <c r="AR18" s="26"/>
      <c r="AS18" s="26"/>
      <c r="AT18" s="44"/>
      <c r="AU18" s="26">
        <f t="shared" si="3"/>
        <v>73033</v>
      </c>
      <c r="AV18" s="26">
        <v>21025</v>
      </c>
      <c r="AW18" s="26">
        <v>52008</v>
      </c>
      <c r="AX18" s="44"/>
      <c r="AY18" s="26"/>
      <c r="AZ18" s="26"/>
      <c r="BA18" s="26"/>
      <c r="BB18" s="44"/>
      <c r="BC18" s="26">
        <f>SUM(BD18:BE18)</f>
        <v>50752</v>
      </c>
      <c r="BD18" s="26">
        <v>1991</v>
      </c>
      <c r="BE18" s="59">
        <v>48761</v>
      </c>
      <c r="BF18" s="44"/>
      <c r="BG18" s="26">
        <f t="shared" si="4"/>
        <v>39255</v>
      </c>
      <c r="BH18" s="26">
        <v>11182</v>
      </c>
      <c r="BI18" s="26">
        <v>28073</v>
      </c>
      <c r="BJ18" s="44"/>
      <c r="BK18" s="26"/>
      <c r="BL18" s="26"/>
      <c r="BM18" s="59"/>
      <c r="BN18" s="44"/>
      <c r="BO18" s="26"/>
      <c r="BP18" s="26"/>
      <c r="BQ18" s="26"/>
      <c r="BR18" s="44"/>
      <c r="BS18" s="54">
        <f>SUM(BT18:BU18)</f>
        <v>50752</v>
      </c>
      <c r="BT18" s="54">
        <f>AZ18+BD18</f>
        <v>1991</v>
      </c>
      <c r="BU18" s="54">
        <f>BA18+BE18</f>
        <v>48761</v>
      </c>
      <c r="BV18" s="44"/>
      <c r="BW18" s="54">
        <f t="shared" si="5"/>
        <v>39256</v>
      </c>
      <c r="BX18" s="54">
        <f t="shared" si="23"/>
        <v>9981</v>
      </c>
      <c r="BY18" s="54">
        <f t="shared" si="23"/>
        <v>29275</v>
      </c>
      <c r="BZ18" s="44"/>
      <c r="CA18" s="54">
        <f t="shared" si="6"/>
        <v>430156</v>
      </c>
      <c r="CB18" s="54">
        <f t="shared" si="7"/>
        <v>78873</v>
      </c>
      <c r="CC18" s="54">
        <f t="shared" si="7"/>
        <v>351283</v>
      </c>
      <c r="CD18" s="44"/>
      <c r="CE18" s="26">
        <f t="shared" si="8"/>
        <v>29125</v>
      </c>
      <c r="CF18" s="26">
        <f>2062.5*2</f>
        <v>4125</v>
      </c>
      <c r="CG18" s="26">
        <v>25000</v>
      </c>
      <c r="CH18" s="44"/>
      <c r="CI18" s="26">
        <f t="shared" si="9"/>
        <v>84478.33</v>
      </c>
      <c r="CJ18" s="26">
        <f>5137.6+4340.73</f>
        <v>9478.33</v>
      </c>
      <c r="CK18" s="26">
        <v>75000</v>
      </c>
      <c r="CL18" s="44"/>
      <c r="CM18" s="26">
        <f t="shared" si="18"/>
        <v>105532.74</v>
      </c>
      <c r="CN18" s="2">
        <f>20611.68+19921.06</f>
        <v>40532.740000000005</v>
      </c>
      <c r="CO18" s="60">
        <v>65000</v>
      </c>
      <c r="CP18" s="44"/>
      <c r="CQ18" s="61">
        <f t="shared" si="10"/>
        <v>478811</v>
      </c>
      <c r="CR18" s="62">
        <v>118811</v>
      </c>
      <c r="CS18" s="63">
        <v>360000</v>
      </c>
      <c r="CT18" s="44"/>
      <c r="CU18" s="61">
        <f t="shared" si="11"/>
        <v>380097</v>
      </c>
      <c r="CV18" s="62">
        <v>80097</v>
      </c>
      <c r="CW18" s="63">
        <v>300000</v>
      </c>
      <c r="CX18" s="44"/>
      <c r="CY18" s="61">
        <f t="shared" si="12"/>
        <v>253437.5</v>
      </c>
      <c r="CZ18" s="62">
        <f>30437.5+28000</f>
        <v>58437.5</v>
      </c>
      <c r="DA18" s="63">
        <v>195000</v>
      </c>
      <c r="DB18" s="44"/>
      <c r="DC18" s="61">
        <f t="shared" si="13"/>
        <v>163655</v>
      </c>
      <c r="DD18" s="64">
        <v>68655</v>
      </c>
      <c r="DE18" s="29">
        <v>95000</v>
      </c>
      <c r="DF18" s="44"/>
      <c r="DG18" s="61">
        <f t="shared" si="14"/>
        <v>154106</v>
      </c>
      <c r="DH18" s="65">
        <v>64106</v>
      </c>
      <c r="DI18" s="63">
        <v>90000</v>
      </c>
      <c r="DJ18" s="44"/>
      <c r="DK18" s="61">
        <f t="shared" si="15"/>
        <v>82792.78</v>
      </c>
      <c r="DL18" s="64">
        <f>15896.39*2</f>
        <v>31792.78</v>
      </c>
      <c r="DM18" s="29">
        <v>51000</v>
      </c>
      <c r="DN18" s="44"/>
      <c r="DO18" s="54">
        <f t="shared" si="19"/>
        <v>668822.06999999995</v>
      </c>
      <c r="DP18" s="54">
        <f t="shared" si="20"/>
        <v>168822.06999999998</v>
      </c>
      <c r="DQ18" s="54">
        <f t="shared" si="20"/>
        <v>500000</v>
      </c>
      <c r="DR18" s="44"/>
      <c r="DS18" s="54">
        <f t="shared" si="16"/>
        <v>1034088.28</v>
      </c>
      <c r="DT18" s="54">
        <f t="shared" si="21"/>
        <v>303088.28000000003</v>
      </c>
      <c r="DU18" s="54">
        <f t="shared" si="21"/>
        <v>731000</v>
      </c>
      <c r="DV18" s="44"/>
      <c r="DW18" s="54">
        <f t="shared" si="17"/>
        <v>1732035.35</v>
      </c>
      <c r="DX18" s="54">
        <f t="shared" si="22"/>
        <v>476035.35</v>
      </c>
      <c r="DY18" s="54">
        <f t="shared" si="22"/>
        <v>1256000</v>
      </c>
      <c r="DZ18" s="44"/>
    </row>
    <row r="19" spans="1:130" x14ac:dyDescent="0.2">
      <c r="A19" s="58">
        <v>2027</v>
      </c>
      <c r="B19" s="44"/>
      <c r="C19" s="26">
        <f t="shared" si="0"/>
        <v>317867</v>
      </c>
      <c r="D19" s="26">
        <v>47867</v>
      </c>
      <c r="E19" s="26">
        <v>270000</v>
      </c>
      <c r="F19" s="44"/>
      <c r="G19" s="26"/>
      <c r="H19" s="26"/>
      <c r="I19" s="26"/>
      <c r="J19" s="44"/>
      <c r="K19" s="26"/>
      <c r="L19" s="26"/>
      <c r="M19" s="26"/>
      <c r="N19" s="44"/>
      <c r="O19" s="26"/>
      <c r="P19" s="26"/>
      <c r="Q19" s="26"/>
      <c r="R19" s="44"/>
      <c r="S19" s="54">
        <f t="shared" si="1"/>
        <v>317867</v>
      </c>
      <c r="T19" s="54">
        <f t="shared" si="2"/>
        <v>47867</v>
      </c>
      <c r="U19" s="54">
        <f t="shared" si="2"/>
        <v>270000</v>
      </c>
      <c r="V19" s="44"/>
      <c r="W19" s="26"/>
      <c r="X19" s="26"/>
      <c r="Y19" s="26"/>
      <c r="Z19" s="44"/>
      <c r="AA19" s="26"/>
      <c r="AB19" s="26"/>
      <c r="AC19" s="26"/>
      <c r="AD19" s="44"/>
      <c r="AE19" s="26"/>
      <c r="AF19" s="26"/>
      <c r="AG19" s="26"/>
      <c r="AH19" s="44"/>
      <c r="AI19" s="26"/>
      <c r="AJ19" s="26"/>
      <c r="AK19" s="26"/>
      <c r="AL19" s="44"/>
      <c r="AM19" s="26"/>
      <c r="AN19" s="26"/>
      <c r="AO19" s="26"/>
      <c r="AP19" s="44"/>
      <c r="AQ19" s="26"/>
      <c r="AR19" s="26"/>
      <c r="AS19" s="26"/>
      <c r="AT19" s="44"/>
      <c r="AU19" s="26">
        <f t="shared" si="3"/>
        <v>73033</v>
      </c>
      <c r="AV19" s="26">
        <v>19158</v>
      </c>
      <c r="AW19" s="26">
        <v>53875</v>
      </c>
      <c r="AX19" s="44"/>
      <c r="AY19" s="26"/>
      <c r="AZ19" s="26"/>
      <c r="BA19" s="26"/>
      <c r="BB19" s="44"/>
      <c r="BC19" s="26"/>
      <c r="BD19" s="26"/>
      <c r="BE19" s="59"/>
      <c r="BF19" s="44"/>
      <c r="BG19" s="26">
        <f t="shared" si="4"/>
        <v>39256</v>
      </c>
      <c r="BH19" s="26">
        <v>9981</v>
      </c>
      <c r="BI19" s="26">
        <v>29275</v>
      </c>
      <c r="BJ19" s="44"/>
      <c r="BK19" s="26"/>
      <c r="BL19" s="26"/>
      <c r="BM19" s="59"/>
      <c r="BN19" s="44"/>
      <c r="BO19" s="26"/>
      <c r="BP19" s="26"/>
      <c r="BQ19" s="26"/>
      <c r="BR19" s="44"/>
      <c r="BS19" s="54">
        <f>SUM(BT19:BU19)</f>
        <v>0</v>
      </c>
      <c r="BT19" s="54">
        <f>AZ19+BD19</f>
        <v>0</v>
      </c>
      <c r="BU19" s="54">
        <f>BA19+BE19</f>
        <v>0</v>
      </c>
      <c r="BV19" s="44"/>
      <c r="BW19" s="54">
        <f t="shared" si="5"/>
        <v>39256</v>
      </c>
      <c r="BX19" s="54">
        <f t="shared" si="23"/>
        <v>8728</v>
      </c>
      <c r="BY19" s="54">
        <f t="shared" si="23"/>
        <v>30528</v>
      </c>
      <c r="BZ19" s="44"/>
      <c r="CA19" s="54">
        <f t="shared" si="6"/>
        <v>465884</v>
      </c>
      <c r="CB19" s="54">
        <f t="shared" si="7"/>
        <v>66481</v>
      </c>
      <c r="CC19" s="54">
        <f t="shared" si="7"/>
        <v>399403</v>
      </c>
      <c r="CD19" s="44"/>
      <c r="CE19" s="26">
        <f t="shared" si="8"/>
        <v>31000</v>
      </c>
      <c r="CF19" s="26">
        <f>1750*2</f>
        <v>3500</v>
      </c>
      <c r="CG19" s="26">
        <v>27500</v>
      </c>
      <c r="CH19" s="44"/>
      <c r="CI19" s="26">
        <f t="shared" si="9"/>
        <v>87831.459999999992</v>
      </c>
      <c r="CJ19" s="26">
        <f>4340.73+3490.73</f>
        <v>7831.4599999999991</v>
      </c>
      <c r="CK19" s="26">
        <v>80000</v>
      </c>
      <c r="CL19" s="44"/>
      <c r="CM19" s="26">
        <f t="shared" si="18"/>
        <v>104151.49</v>
      </c>
      <c r="CN19" s="2">
        <f>19921.06+19230.43</f>
        <v>39151.490000000005</v>
      </c>
      <c r="CO19" s="60">
        <v>65000</v>
      </c>
      <c r="CP19" s="44"/>
      <c r="CQ19" s="61">
        <f t="shared" si="10"/>
        <v>474748</v>
      </c>
      <c r="CR19" s="62">
        <v>109748</v>
      </c>
      <c r="CS19" s="63">
        <v>365000</v>
      </c>
      <c r="CT19" s="44"/>
      <c r="CU19" s="61">
        <f t="shared" si="11"/>
        <v>377535</v>
      </c>
      <c r="CV19" s="62">
        <v>72535</v>
      </c>
      <c r="CW19" s="63">
        <v>305000</v>
      </c>
      <c r="CX19" s="44"/>
      <c r="CY19" s="61">
        <f t="shared" si="12"/>
        <v>253500</v>
      </c>
      <c r="CZ19" s="62">
        <f>28000+25500</f>
        <v>53500</v>
      </c>
      <c r="DA19" s="63">
        <v>200000</v>
      </c>
      <c r="DB19" s="44"/>
      <c r="DC19" s="61">
        <f t="shared" si="13"/>
        <v>166218</v>
      </c>
      <c r="DD19" s="64">
        <v>66218</v>
      </c>
      <c r="DE19" s="29">
        <v>100000</v>
      </c>
      <c r="DF19" s="44"/>
      <c r="DG19" s="61">
        <f t="shared" si="14"/>
        <v>151856</v>
      </c>
      <c r="DH19" s="65">
        <v>61856</v>
      </c>
      <c r="DI19" s="63">
        <v>90000</v>
      </c>
      <c r="DJ19" s="44"/>
      <c r="DK19" s="61">
        <f t="shared" si="15"/>
        <v>86772.78</v>
      </c>
      <c r="DL19" s="64">
        <f>15386.39*2</f>
        <v>30772.78</v>
      </c>
      <c r="DM19" s="29">
        <v>56000</v>
      </c>
      <c r="DN19" s="44"/>
      <c r="DO19" s="54">
        <f t="shared" si="19"/>
        <v>666730.94999999995</v>
      </c>
      <c r="DP19" s="54">
        <f t="shared" si="20"/>
        <v>156730.94999999998</v>
      </c>
      <c r="DQ19" s="54">
        <f t="shared" si="20"/>
        <v>510000</v>
      </c>
      <c r="DR19" s="44"/>
      <c r="DS19" s="54">
        <f t="shared" si="16"/>
        <v>1035881.78</v>
      </c>
      <c r="DT19" s="54">
        <f t="shared" si="21"/>
        <v>284881.78000000003</v>
      </c>
      <c r="DU19" s="54">
        <f t="shared" si="21"/>
        <v>751000</v>
      </c>
      <c r="DV19" s="44"/>
      <c r="DW19" s="54">
        <f t="shared" si="17"/>
        <v>1733612.73</v>
      </c>
      <c r="DX19" s="54">
        <f t="shared" si="22"/>
        <v>445112.73</v>
      </c>
      <c r="DY19" s="54">
        <f t="shared" si="22"/>
        <v>1288500</v>
      </c>
      <c r="DZ19" s="44"/>
    </row>
    <row r="20" spans="1:130" x14ac:dyDescent="0.2">
      <c r="A20" s="58">
        <v>2028</v>
      </c>
      <c r="B20" s="44"/>
      <c r="C20" s="26">
        <f t="shared" si="0"/>
        <v>353595</v>
      </c>
      <c r="D20" s="26">
        <v>38595</v>
      </c>
      <c r="E20" s="26">
        <v>315000</v>
      </c>
      <c r="F20" s="44"/>
      <c r="G20" s="26"/>
      <c r="H20" s="26"/>
      <c r="I20" s="26"/>
      <c r="J20" s="44"/>
      <c r="K20" s="26"/>
      <c r="L20" s="26"/>
      <c r="M20" s="26"/>
      <c r="N20" s="44"/>
      <c r="O20" s="26"/>
      <c r="P20" s="26"/>
      <c r="Q20" s="26"/>
      <c r="R20" s="44"/>
      <c r="S20" s="54">
        <f t="shared" si="1"/>
        <v>353595</v>
      </c>
      <c r="T20" s="54">
        <f t="shared" si="2"/>
        <v>38595</v>
      </c>
      <c r="U20" s="54">
        <f t="shared" si="2"/>
        <v>315000</v>
      </c>
      <c r="V20" s="44"/>
      <c r="W20" s="26"/>
      <c r="X20" s="26"/>
      <c r="Y20" s="26"/>
      <c r="Z20" s="44"/>
      <c r="AA20" s="26"/>
      <c r="AB20" s="26"/>
      <c r="AC20" s="26"/>
      <c r="AD20" s="44"/>
      <c r="AE20" s="26"/>
      <c r="AF20" s="26"/>
      <c r="AG20" s="26"/>
      <c r="AH20" s="44"/>
      <c r="AI20" s="26"/>
      <c r="AJ20" s="26"/>
      <c r="AK20" s="26"/>
      <c r="AL20" s="44"/>
      <c r="AM20" s="26"/>
      <c r="AN20" s="26"/>
      <c r="AO20" s="26"/>
      <c r="AP20" s="44"/>
      <c r="AQ20" s="26"/>
      <c r="AR20" s="26"/>
      <c r="AS20" s="26"/>
      <c r="AT20" s="44"/>
      <c r="AU20" s="26">
        <f t="shared" si="3"/>
        <v>73032</v>
      </c>
      <c r="AV20" s="26">
        <v>17224</v>
      </c>
      <c r="AW20" s="26">
        <v>55808</v>
      </c>
      <c r="AX20" s="44"/>
      <c r="AY20" s="26"/>
      <c r="AZ20" s="26"/>
      <c r="BA20" s="26"/>
      <c r="BB20" s="44"/>
      <c r="BC20" s="26"/>
      <c r="BD20" s="26"/>
      <c r="BE20" s="26"/>
      <c r="BF20" s="44"/>
      <c r="BG20" s="26">
        <f t="shared" si="4"/>
        <v>39256</v>
      </c>
      <c r="BH20" s="26">
        <v>8728</v>
      </c>
      <c r="BI20" s="26">
        <v>30528</v>
      </c>
      <c r="BJ20" s="44"/>
      <c r="BK20" s="26"/>
      <c r="BM20" s="26"/>
      <c r="BN20" s="44"/>
      <c r="BO20" s="26"/>
      <c r="BP20" s="26"/>
      <c r="BQ20" s="26"/>
      <c r="BR20" s="44"/>
      <c r="BS20" s="54"/>
      <c r="BT20" s="54"/>
      <c r="BU20" s="54"/>
      <c r="BV20" s="44"/>
      <c r="BW20" s="54">
        <f t="shared" si="5"/>
        <v>39256</v>
      </c>
      <c r="BX20" s="54">
        <f t="shared" si="23"/>
        <v>7421</v>
      </c>
      <c r="BY20" s="54">
        <f t="shared" si="23"/>
        <v>31835</v>
      </c>
      <c r="BZ20" s="44"/>
      <c r="CA20" s="54">
        <f t="shared" si="6"/>
        <v>500184</v>
      </c>
      <c r="CB20" s="54">
        <f t="shared" si="7"/>
        <v>52541</v>
      </c>
      <c r="CC20" s="54">
        <f t="shared" si="7"/>
        <v>447643</v>
      </c>
      <c r="CD20" s="44"/>
      <c r="CE20" s="26">
        <f t="shared" si="8"/>
        <v>30312.5</v>
      </c>
      <c r="CF20" s="26">
        <f>1406.25*2</f>
        <v>2812.5</v>
      </c>
      <c r="CG20" s="26">
        <v>27500</v>
      </c>
      <c r="CH20" s="44"/>
      <c r="CI20" s="26">
        <f t="shared" si="9"/>
        <v>86131.46</v>
      </c>
      <c r="CJ20" s="26">
        <f>3490.73+2640.73</f>
        <v>6131.46</v>
      </c>
      <c r="CK20" s="26">
        <v>80000</v>
      </c>
      <c r="CL20" s="44"/>
      <c r="CM20" s="26">
        <f t="shared" si="18"/>
        <v>102770.24000000001</v>
      </c>
      <c r="CN20" s="2">
        <f>19230.43+18539.81</f>
        <v>37770.240000000005</v>
      </c>
      <c r="CO20" s="60">
        <v>65000</v>
      </c>
      <c r="CP20" s="44"/>
      <c r="CQ20" s="61">
        <f t="shared" si="10"/>
        <v>475498</v>
      </c>
      <c r="CR20" s="62">
        <v>100498</v>
      </c>
      <c r="CS20" s="63">
        <v>375000</v>
      </c>
      <c r="CT20" s="44"/>
      <c r="CU20" s="61">
        <f t="shared" si="11"/>
        <v>379785</v>
      </c>
      <c r="CV20" s="62">
        <v>64785</v>
      </c>
      <c r="CW20" s="63">
        <v>315000</v>
      </c>
      <c r="CX20" s="44"/>
      <c r="CY20" s="61">
        <f t="shared" si="12"/>
        <v>253437.5</v>
      </c>
      <c r="CZ20" s="62">
        <f>25500+22937.5</f>
        <v>48437.5</v>
      </c>
      <c r="DA20" s="63">
        <v>205000</v>
      </c>
      <c r="DB20" s="44"/>
      <c r="DC20" s="61">
        <f t="shared" si="13"/>
        <v>163718</v>
      </c>
      <c r="DD20" s="64">
        <v>63718</v>
      </c>
      <c r="DE20" s="29">
        <v>100000</v>
      </c>
      <c r="DF20" s="44"/>
      <c r="DG20" s="61">
        <f t="shared" si="14"/>
        <v>154544</v>
      </c>
      <c r="DH20" s="65">
        <v>59544</v>
      </c>
      <c r="DI20" s="63">
        <v>95000</v>
      </c>
      <c r="DJ20" s="44"/>
      <c r="DK20" s="61">
        <f t="shared" si="15"/>
        <v>85652.78</v>
      </c>
      <c r="DL20" s="64">
        <f>14826.39*2</f>
        <v>29652.78</v>
      </c>
      <c r="DM20" s="29">
        <v>56000</v>
      </c>
      <c r="DN20" s="44"/>
      <c r="DO20" s="54">
        <f t="shared" si="19"/>
        <v>664399.69999999995</v>
      </c>
      <c r="DP20" s="54">
        <f t="shared" si="20"/>
        <v>144399.69999999998</v>
      </c>
      <c r="DQ20" s="54">
        <f t="shared" si="20"/>
        <v>520000</v>
      </c>
      <c r="DR20" s="44"/>
      <c r="DS20" s="54">
        <f t="shared" si="16"/>
        <v>1037137.28</v>
      </c>
      <c r="DT20" s="54">
        <f t="shared" si="21"/>
        <v>266137.28000000003</v>
      </c>
      <c r="DU20" s="54">
        <f t="shared" si="21"/>
        <v>771000</v>
      </c>
      <c r="DV20" s="44"/>
      <c r="DW20" s="54">
        <f t="shared" si="17"/>
        <v>1731849.48</v>
      </c>
      <c r="DX20" s="54">
        <f t="shared" si="22"/>
        <v>413349.48</v>
      </c>
      <c r="DY20" s="54">
        <f t="shared" si="22"/>
        <v>1318500</v>
      </c>
      <c r="DZ20" s="44"/>
    </row>
    <row r="21" spans="1:130" x14ac:dyDescent="0.2">
      <c r="A21" s="58">
        <v>2029</v>
      </c>
      <c r="B21" s="44"/>
      <c r="C21" s="26">
        <f t="shared" si="0"/>
        <v>387896</v>
      </c>
      <c r="D21" s="26">
        <v>27896</v>
      </c>
      <c r="E21" s="26">
        <v>360000</v>
      </c>
      <c r="F21" s="44"/>
      <c r="G21" s="26"/>
      <c r="H21" s="26"/>
      <c r="I21" s="26"/>
      <c r="J21" s="44"/>
      <c r="K21" s="26"/>
      <c r="L21" s="26"/>
      <c r="M21" s="26"/>
      <c r="N21" s="44"/>
      <c r="O21" s="26"/>
      <c r="P21" s="26"/>
      <c r="Q21" s="26"/>
      <c r="R21" s="44"/>
      <c r="S21" s="54">
        <f t="shared" si="1"/>
        <v>387896</v>
      </c>
      <c r="T21" s="54">
        <f t="shared" si="2"/>
        <v>27896</v>
      </c>
      <c r="U21" s="54">
        <f t="shared" si="2"/>
        <v>360000</v>
      </c>
      <c r="V21" s="44"/>
      <c r="W21" s="26"/>
      <c r="X21" s="26"/>
      <c r="Y21" s="26"/>
      <c r="Z21" s="44"/>
      <c r="AA21" s="26"/>
      <c r="AB21" s="26"/>
      <c r="AC21" s="26"/>
      <c r="AD21" s="44"/>
      <c r="AE21" s="26"/>
      <c r="AF21" s="26"/>
      <c r="AG21" s="26"/>
      <c r="AH21" s="44"/>
      <c r="AI21" s="26"/>
      <c r="AJ21" s="26"/>
      <c r="AK21" s="26"/>
      <c r="AL21" s="44"/>
      <c r="AM21" s="26"/>
      <c r="AN21" s="26"/>
      <c r="AO21" s="26"/>
      <c r="AP21" s="44"/>
      <c r="AQ21" s="26"/>
      <c r="AR21" s="26"/>
      <c r="AS21" s="26"/>
      <c r="AT21" s="44"/>
      <c r="AU21" s="26">
        <f t="shared" si="3"/>
        <v>73033</v>
      </c>
      <c r="AV21" s="26">
        <v>15263</v>
      </c>
      <c r="AW21" s="26">
        <v>57770</v>
      </c>
      <c r="AX21" s="44"/>
      <c r="AY21" s="26"/>
      <c r="AZ21" s="26"/>
      <c r="BA21" s="26"/>
      <c r="BB21" s="44"/>
      <c r="BC21" s="26"/>
      <c r="BD21" s="26"/>
      <c r="BE21" s="26"/>
      <c r="BF21" s="44"/>
      <c r="BG21" s="26">
        <f t="shared" si="4"/>
        <v>39256</v>
      </c>
      <c r="BH21" s="26">
        <v>7421</v>
      </c>
      <c r="BI21" s="26">
        <v>31835</v>
      </c>
      <c r="BJ21" s="44"/>
      <c r="BK21" s="26"/>
      <c r="BL21" s="26"/>
      <c r="BM21" s="26"/>
      <c r="BN21" s="44"/>
      <c r="BO21" s="26"/>
      <c r="BP21" s="26"/>
      <c r="BQ21" s="26"/>
      <c r="BR21" s="44"/>
      <c r="BS21" s="54"/>
      <c r="BT21" s="54"/>
      <c r="BU21" s="54"/>
      <c r="BV21" s="44"/>
      <c r="BW21" s="54">
        <f t="shared" si="5"/>
        <v>39256</v>
      </c>
      <c r="BX21" s="54">
        <f t="shared" si="23"/>
        <v>6059</v>
      </c>
      <c r="BY21" s="54">
        <f t="shared" si="23"/>
        <v>33197</v>
      </c>
      <c r="BZ21" s="44"/>
      <c r="CA21" s="54">
        <f t="shared" si="6"/>
        <v>483852</v>
      </c>
      <c r="CB21" s="54">
        <f t="shared" si="7"/>
        <v>37885</v>
      </c>
      <c r="CC21" s="54">
        <f t="shared" si="7"/>
        <v>445967</v>
      </c>
      <c r="CD21" s="44"/>
      <c r="CE21" s="26">
        <f t="shared" si="8"/>
        <v>29625</v>
      </c>
      <c r="CF21" s="26">
        <f>1062.5*2</f>
        <v>2125</v>
      </c>
      <c r="CG21" s="26">
        <v>27500</v>
      </c>
      <c r="CH21" s="44"/>
      <c r="CI21" s="26">
        <f t="shared" si="9"/>
        <v>84431.46</v>
      </c>
      <c r="CJ21" s="26">
        <f>2640.73+1790.73</f>
        <v>4431.46</v>
      </c>
      <c r="CK21" s="26">
        <v>80000</v>
      </c>
      <c r="CL21" s="44"/>
      <c r="CM21" s="26">
        <f t="shared" si="18"/>
        <v>101388.99</v>
      </c>
      <c r="CN21" s="2">
        <f>18539.81+17849.18</f>
        <v>36388.990000000005</v>
      </c>
      <c r="CO21" s="60">
        <v>65000</v>
      </c>
      <c r="CP21" s="44"/>
      <c r="CQ21" s="61">
        <f t="shared" si="10"/>
        <v>475998</v>
      </c>
      <c r="CR21" s="62">
        <v>90998</v>
      </c>
      <c r="CS21" s="63">
        <v>385000</v>
      </c>
      <c r="CT21" s="44"/>
      <c r="CU21" s="61">
        <f t="shared" si="11"/>
        <v>381785</v>
      </c>
      <c r="CV21" s="62">
        <v>56785</v>
      </c>
      <c r="CW21" s="63">
        <v>325000</v>
      </c>
      <c r="CX21" s="44"/>
      <c r="CY21" s="61">
        <f t="shared" si="12"/>
        <v>253250</v>
      </c>
      <c r="CZ21" s="62">
        <f>22937.5+20312.5</f>
        <v>43250</v>
      </c>
      <c r="DA21" s="63">
        <v>210000</v>
      </c>
      <c r="DB21" s="44"/>
      <c r="DC21" s="61">
        <f t="shared" si="13"/>
        <v>166155</v>
      </c>
      <c r="DD21" s="64">
        <v>61155</v>
      </c>
      <c r="DE21" s="29">
        <v>105000</v>
      </c>
      <c r="DF21" s="44"/>
      <c r="DG21" s="61">
        <f t="shared" si="14"/>
        <v>152169</v>
      </c>
      <c r="DH21" s="65">
        <v>57169</v>
      </c>
      <c r="DI21" s="63">
        <v>95000</v>
      </c>
      <c r="DJ21" s="44"/>
      <c r="DK21" s="61">
        <f t="shared" si="15"/>
        <v>84532.78</v>
      </c>
      <c r="DL21" s="64">
        <f>14266.39*2</f>
        <v>28532.78</v>
      </c>
      <c r="DM21" s="29">
        <v>56000</v>
      </c>
      <c r="DN21" s="44"/>
      <c r="DO21" s="54">
        <f t="shared" si="19"/>
        <v>661818.44999999995</v>
      </c>
      <c r="DP21" s="54">
        <f t="shared" si="20"/>
        <v>131818.45000000001</v>
      </c>
      <c r="DQ21" s="54">
        <f t="shared" si="20"/>
        <v>530000</v>
      </c>
      <c r="DR21" s="44"/>
      <c r="DS21" s="54">
        <f t="shared" si="16"/>
        <v>1037891.78</v>
      </c>
      <c r="DT21" s="54">
        <f t="shared" si="21"/>
        <v>246891.78</v>
      </c>
      <c r="DU21" s="54">
        <f t="shared" si="21"/>
        <v>791000</v>
      </c>
      <c r="DV21" s="44"/>
      <c r="DW21" s="54">
        <f t="shared" si="17"/>
        <v>1729335.23</v>
      </c>
      <c r="DX21" s="54">
        <f t="shared" si="22"/>
        <v>380835.23</v>
      </c>
      <c r="DY21" s="54">
        <f t="shared" si="22"/>
        <v>1348500</v>
      </c>
      <c r="DZ21" s="44"/>
    </row>
    <row r="22" spans="1:130" x14ac:dyDescent="0.2">
      <c r="A22" s="58">
        <v>2030</v>
      </c>
      <c r="B22" s="44"/>
      <c r="C22" s="26">
        <f t="shared" si="0"/>
        <v>371563</v>
      </c>
      <c r="D22" s="26">
        <v>16563</v>
      </c>
      <c r="E22" s="26">
        <v>355000</v>
      </c>
      <c r="F22" s="44"/>
      <c r="G22" s="26"/>
      <c r="H22" s="26"/>
      <c r="I22" s="26"/>
      <c r="J22" s="44"/>
      <c r="K22" s="26"/>
      <c r="L22" s="26"/>
      <c r="M22" s="26"/>
      <c r="N22" s="44"/>
      <c r="O22" s="26"/>
      <c r="P22" s="26"/>
      <c r="Q22" s="26"/>
      <c r="R22" s="44"/>
      <c r="S22" s="54">
        <f t="shared" si="1"/>
        <v>371563</v>
      </c>
      <c r="T22" s="54">
        <f t="shared" si="2"/>
        <v>16563</v>
      </c>
      <c r="U22" s="54">
        <f t="shared" si="2"/>
        <v>355000</v>
      </c>
      <c r="V22" s="44"/>
      <c r="W22" s="26"/>
      <c r="X22" s="26"/>
      <c r="Y22" s="26"/>
      <c r="Z22" s="44"/>
      <c r="AA22" s="26"/>
      <c r="AB22" s="26"/>
      <c r="AC22" s="26"/>
      <c r="AD22" s="44"/>
      <c r="AE22" s="26"/>
      <c r="AF22" s="26"/>
      <c r="AG22" s="26"/>
      <c r="AH22" s="44"/>
      <c r="AI22" s="26"/>
      <c r="AJ22" s="26"/>
      <c r="AK22" s="26"/>
      <c r="AL22" s="44"/>
      <c r="AM22" s="26"/>
      <c r="AN22" s="26"/>
      <c r="AO22" s="26"/>
      <c r="AP22" s="44"/>
      <c r="AQ22" s="26"/>
      <c r="AR22" s="26"/>
      <c r="AS22" s="26"/>
      <c r="AT22" s="44"/>
      <c r="AU22" s="26">
        <f t="shared" si="3"/>
        <v>73033</v>
      </c>
      <c r="AV22" s="26">
        <v>13148</v>
      </c>
      <c r="AW22" s="26">
        <v>59885</v>
      </c>
      <c r="AX22" s="44"/>
      <c r="AY22" s="26"/>
      <c r="AZ22" s="26"/>
      <c r="BA22" s="26"/>
      <c r="BB22" s="44"/>
      <c r="BC22" s="26"/>
      <c r="BD22" s="26"/>
      <c r="BE22" s="26"/>
      <c r="BF22" s="44"/>
      <c r="BG22" s="26">
        <f t="shared" si="4"/>
        <v>39256</v>
      </c>
      <c r="BH22" s="26">
        <v>6059</v>
      </c>
      <c r="BI22" s="26">
        <v>33197</v>
      </c>
      <c r="BJ22" s="44"/>
      <c r="BK22" s="26"/>
      <c r="BL22" s="26"/>
      <c r="BM22" s="26"/>
      <c r="BN22" s="44"/>
      <c r="BO22" s="26"/>
      <c r="BP22" s="26"/>
      <c r="BQ22" s="26"/>
      <c r="BR22" s="44"/>
      <c r="BS22" s="54"/>
      <c r="BT22" s="54"/>
      <c r="BU22" s="54"/>
      <c r="BV22" s="44"/>
      <c r="BW22" s="54">
        <f t="shared" si="5"/>
        <v>39256</v>
      </c>
      <c r="BX22" s="54">
        <f t="shared" si="23"/>
        <v>4638</v>
      </c>
      <c r="BY22" s="54">
        <f t="shared" si="23"/>
        <v>34618</v>
      </c>
      <c r="BZ22" s="44"/>
      <c r="CA22" s="54">
        <f t="shared" si="6"/>
        <v>462757</v>
      </c>
      <c r="CB22" s="54">
        <f t="shared" si="7"/>
        <v>23254</v>
      </c>
      <c r="CC22" s="54">
        <f t="shared" si="7"/>
        <v>439503</v>
      </c>
      <c r="CD22" s="44"/>
      <c r="CE22" s="26">
        <f t="shared" si="8"/>
        <v>28937.5</v>
      </c>
      <c r="CF22" s="26">
        <f>718.75*2</f>
        <v>1437.5</v>
      </c>
      <c r="CG22" s="26">
        <v>27500</v>
      </c>
      <c r="CH22" s="44"/>
      <c r="CI22" s="26">
        <f t="shared" si="9"/>
        <v>87678.33</v>
      </c>
      <c r="CJ22" s="26">
        <f>1790.73+887.6</f>
        <v>2678.33</v>
      </c>
      <c r="CK22" s="26">
        <v>85000</v>
      </c>
      <c r="CL22" s="44"/>
      <c r="CM22" s="26">
        <f t="shared" si="18"/>
        <v>104954.61</v>
      </c>
      <c r="CN22" s="2">
        <f>17849.18+17105.43</f>
        <v>34954.61</v>
      </c>
      <c r="CO22" s="60">
        <v>70000</v>
      </c>
      <c r="CP22" s="44"/>
      <c r="CQ22" s="61">
        <f t="shared" si="10"/>
        <v>476248</v>
      </c>
      <c r="CR22" s="62">
        <v>81248</v>
      </c>
      <c r="CS22" s="63">
        <v>395000</v>
      </c>
      <c r="CT22" s="44"/>
      <c r="CU22" s="61">
        <f t="shared" si="11"/>
        <v>378597</v>
      </c>
      <c r="CV22" s="62">
        <v>48597</v>
      </c>
      <c r="CW22" s="63">
        <v>330000</v>
      </c>
      <c r="CX22" s="44"/>
      <c r="CY22" s="61">
        <f t="shared" si="12"/>
        <v>252937.5</v>
      </c>
      <c r="CZ22" s="62">
        <f>20312.5+17625</f>
        <v>37937.5</v>
      </c>
      <c r="DA22" s="63">
        <v>215000</v>
      </c>
      <c r="DB22" s="44"/>
      <c r="DC22" s="61">
        <f t="shared" si="13"/>
        <v>163530</v>
      </c>
      <c r="DD22" s="64">
        <v>58530</v>
      </c>
      <c r="DE22" s="29">
        <v>105000</v>
      </c>
      <c r="DF22" s="44"/>
      <c r="DG22" s="61">
        <f t="shared" si="14"/>
        <v>154731</v>
      </c>
      <c r="DH22" s="65">
        <v>54731</v>
      </c>
      <c r="DI22" s="63">
        <v>100000</v>
      </c>
      <c r="DJ22" s="44"/>
      <c r="DK22" s="61">
        <f t="shared" si="15"/>
        <v>83412.78</v>
      </c>
      <c r="DL22" s="64">
        <f>13706.39*2</f>
        <v>27412.78</v>
      </c>
      <c r="DM22" s="29">
        <v>56000</v>
      </c>
      <c r="DN22" s="44"/>
      <c r="DO22" s="54">
        <f t="shared" si="19"/>
        <v>668880.93999999994</v>
      </c>
      <c r="DP22" s="54">
        <f t="shared" si="20"/>
        <v>118880.94</v>
      </c>
      <c r="DQ22" s="54">
        <f t="shared" si="20"/>
        <v>550000</v>
      </c>
      <c r="DR22" s="44"/>
      <c r="DS22" s="54">
        <f t="shared" si="16"/>
        <v>1033208.28</v>
      </c>
      <c r="DT22" s="54">
        <f t="shared" si="21"/>
        <v>227208.28</v>
      </c>
      <c r="DU22" s="54">
        <f t="shared" si="21"/>
        <v>806000</v>
      </c>
      <c r="DV22" s="44"/>
      <c r="DW22" s="54">
        <f t="shared" si="17"/>
        <v>1731026.72</v>
      </c>
      <c r="DX22" s="54">
        <f t="shared" si="22"/>
        <v>347526.72</v>
      </c>
      <c r="DY22" s="54">
        <f t="shared" si="22"/>
        <v>1383500</v>
      </c>
      <c r="DZ22" s="44"/>
    </row>
    <row r="23" spans="1:130" x14ac:dyDescent="0.2">
      <c r="A23" s="58">
        <v>2031</v>
      </c>
      <c r="B23" s="44"/>
      <c r="C23" s="26">
        <f t="shared" si="0"/>
        <v>350468</v>
      </c>
      <c r="D23" s="26">
        <v>5468</v>
      </c>
      <c r="E23" s="26">
        <v>345000</v>
      </c>
      <c r="F23" s="44"/>
      <c r="G23" s="26"/>
      <c r="H23" s="26"/>
      <c r="I23" s="26"/>
      <c r="J23" s="44"/>
      <c r="K23" s="26"/>
      <c r="L23" s="26"/>
      <c r="M23" s="26"/>
      <c r="N23" s="44"/>
      <c r="O23" s="26"/>
      <c r="P23" s="26"/>
      <c r="Q23" s="26"/>
      <c r="R23" s="44"/>
      <c r="S23" s="54">
        <f t="shared" si="1"/>
        <v>350468</v>
      </c>
      <c r="T23" s="54">
        <f t="shared" si="2"/>
        <v>5468</v>
      </c>
      <c r="U23" s="54">
        <f t="shared" si="2"/>
        <v>345000</v>
      </c>
      <c r="V23" s="44"/>
      <c r="W23" s="26"/>
      <c r="X23" s="26"/>
      <c r="Y23" s="26"/>
      <c r="Z23" s="44"/>
      <c r="AA23" s="26"/>
      <c r="AB23" s="26"/>
      <c r="AC23" s="26"/>
      <c r="AD23" s="44"/>
      <c r="AE23" s="26"/>
      <c r="AF23" s="26"/>
      <c r="AG23" s="26"/>
      <c r="AH23" s="44"/>
      <c r="AI23" s="26"/>
      <c r="AJ23" s="26"/>
      <c r="AK23" s="26"/>
      <c r="AL23" s="44"/>
      <c r="AM23" s="26"/>
      <c r="AN23" s="26"/>
      <c r="AO23" s="26"/>
      <c r="AP23" s="44"/>
      <c r="AQ23" s="26"/>
      <c r="AR23" s="26"/>
      <c r="AS23" s="26"/>
      <c r="AT23" s="44"/>
      <c r="AU23" s="26">
        <f t="shared" si="3"/>
        <v>73033</v>
      </c>
      <c r="AV23" s="26">
        <v>10999</v>
      </c>
      <c r="AW23" s="26">
        <v>62034</v>
      </c>
      <c r="AX23" s="44"/>
      <c r="AY23" s="26"/>
      <c r="AZ23" s="26"/>
      <c r="BA23" s="26"/>
      <c r="BB23" s="44"/>
      <c r="BC23" s="26"/>
      <c r="BD23" s="26"/>
      <c r="BE23" s="26"/>
      <c r="BF23" s="44"/>
      <c r="BG23" s="26">
        <f t="shared" si="4"/>
        <v>39256</v>
      </c>
      <c r="BH23" s="26">
        <v>4638</v>
      </c>
      <c r="BI23" s="26">
        <v>34618</v>
      </c>
      <c r="BJ23" s="44"/>
      <c r="BK23" s="26"/>
      <c r="BL23" s="26"/>
      <c r="BM23" s="26"/>
      <c r="BN23" s="44"/>
      <c r="BO23" s="26"/>
      <c r="BP23" s="26"/>
      <c r="BQ23" s="26"/>
      <c r="BR23" s="44"/>
      <c r="BS23" s="54"/>
      <c r="BT23" s="54"/>
      <c r="BU23" s="54"/>
      <c r="BV23" s="44"/>
      <c r="BW23" s="54">
        <f t="shared" si="5"/>
        <v>39256</v>
      </c>
      <c r="BX23" s="54">
        <f t="shared" si="23"/>
        <v>3156</v>
      </c>
      <c r="BY23" s="54">
        <f t="shared" si="23"/>
        <v>36100</v>
      </c>
      <c r="BZ23" s="44"/>
      <c r="CA23" s="54">
        <f t="shared" si="6"/>
        <v>112289</v>
      </c>
      <c r="CB23" s="54">
        <f t="shared" si="7"/>
        <v>14155</v>
      </c>
      <c r="CC23" s="54">
        <f t="shared" si="7"/>
        <v>98134</v>
      </c>
      <c r="CD23" s="44"/>
      <c r="CE23" s="26">
        <f t="shared" si="8"/>
        <v>30750</v>
      </c>
      <c r="CF23" s="26">
        <f>375*2</f>
        <v>750</v>
      </c>
      <c r="CG23" s="26">
        <v>30000</v>
      </c>
      <c r="CH23" s="44"/>
      <c r="CI23" s="26">
        <f t="shared" si="9"/>
        <v>85872.08</v>
      </c>
      <c r="CJ23" s="26">
        <f>887.6-15.52</f>
        <v>872.08</v>
      </c>
      <c r="CK23" s="26">
        <v>85000</v>
      </c>
      <c r="CL23" s="44"/>
      <c r="CM23" s="26">
        <f t="shared" si="18"/>
        <v>103467.11</v>
      </c>
      <c r="CN23" s="2">
        <f>17105.43+16361.68</f>
        <v>33467.11</v>
      </c>
      <c r="CO23" s="60">
        <v>70000</v>
      </c>
      <c r="CP23" s="44"/>
      <c r="CQ23" s="61">
        <f t="shared" si="10"/>
        <v>476248</v>
      </c>
      <c r="CR23" s="62">
        <v>71248</v>
      </c>
      <c r="CS23" s="63">
        <v>405000</v>
      </c>
      <c r="CT23" s="44"/>
      <c r="CU23" s="61">
        <f t="shared" si="11"/>
        <v>380222</v>
      </c>
      <c r="CV23" s="62">
        <v>40222</v>
      </c>
      <c r="CW23" s="63">
        <v>340000</v>
      </c>
      <c r="CX23" s="44"/>
      <c r="CY23" s="61">
        <f t="shared" si="12"/>
        <v>252500</v>
      </c>
      <c r="CZ23" s="62">
        <f>17625+14875</f>
        <v>32500</v>
      </c>
      <c r="DA23" s="63">
        <v>220000</v>
      </c>
      <c r="DB23" s="44"/>
      <c r="DC23" s="61">
        <f t="shared" si="13"/>
        <v>165843</v>
      </c>
      <c r="DD23" s="64">
        <v>55843</v>
      </c>
      <c r="DE23" s="29">
        <v>110000</v>
      </c>
      <c r="DF23" s="44"/>
      <c r="DG23" s="61">
        <f t="shared" si="14"/>
        <v>152231</v>
      </c>
      <c r="DH23" s="65">
        <v>52231</v>
      </c>
      <c r="DI23" s="63">
        <v>100000</v>
      </c>
      <c r="DJ23" s="44"/>
      <c r="DK23" s="61">
        <f t="shared" si="15"/>
        <v>87292.78</v>
      </c>
      <c r="DL23" s="64">
        <f>13146.39*2</f>
        <v>26292.78</v>
      </c>
      <c r="DM23" s="29">
        <v>61000</v>
      </c>
      <c r="DN23" s="44"/>
      <c r="DO23" s="54">
        <f t="shared" si="19"/>
        <v>665587.18999999994</v>
      </c>
      <c r="DP23" s="54">
        <f t="shared" si="20"/>
        <v>105587.19</v>
      </c>
      <c r="DQ23" s="54">
        <f t="shared" si="20"/>
        <v>560000</v>
      </c>
      <c r="DR23" s="44"/>
      <c r="DS23" s="54">
        <f t="shared" si="16"/>
        <v>1038088.78</v>
      </c>
      <c r="DT23" s="54">
        <f t="shared" si="21"/>
        <v>207088.78</v>
      </c>
      <c r="DU23" s="54">
        <f t="shared" si="21"/>
        <v>831000</v>
      </c>
      <c r="DV23" s="44"/>
      <c r="DW23" s="54">
        <f t="shared" si="17"/>
        <v>1734425.97</v>
      </c>
      <c r="DX23" s="54">
        <f t="shared" si="22"/>
        <v>313425.96999999997</v>
      </c>
      <c r="DY23" s="54">
        <f t="shared" si="22"/>
        <v>1421000</v>
      </c>
      <c r="DZ23" s="44"/>
    </row>
    <row r="24" spans="1:130" x14ac:dyDescent="0.2">
      <c r="A24" s="58">
        <v>2032</v>
      </c>
      <c r="B24" s="44"/>
      <c r="C24" s="26"/>
      <c r="D24" s="26"/>
      <c r="E24" s="26"/>
      <c r="F24" s="44"/>
      <c r="G24" s="26"/>
      <c r="H24" s="26"/>
      <c r="I24" s="26"/>
      <c r="J24" s="44"/>
      <c r="K24" s="26"/>
      <c r="L24" s="26"/>
      <c r="M24" s="26"/>
      <c r="N24" s="44"/>
      <c r="O24" s="26"/>
      <c r="P24" s="26"/>
      <c r="Q24" s="26"/>
      <c r="R24" s="44"/>
      <c r="S24" s="54"/>
      <c r="T24" s="54"/>
      <c r="U24" s="54"/>
      <c r="V24" s="44"/>
      <c r="W24" s="26"/>
      <c r="X24" s="26"/>
      <c r="Y24" s="26"/>
      <c r="Z24" s="44"/>
      <c r="AA24" s="26"/>
      <c r="AB24" s="26"/>
      <c r="AC24" s="26"/>
      <c r="AD24" s="44"/>
      <c r="AE24" s="26"/>
      <c r="AF24" s="26"/>
      <c r="AG24" s="26"/>
      <c r="AH24" s="44"/>
      <c r="AI24" s="67"/>
      <c r="AJ24" s="67"/>
      <c r="AK24" s="67"/>
      <c r="AL24" s="44"/>
      <c r="AM24" s="26"/>
      <c r="AN24" s="26"/>
      <c r="AO24" s="26"/>
      <c r="AP24" s="44"/>
      <c r="AQ24" s="26"/>
      <c r="AR24" s="26"/>
      <c r="AS24" s="26"/>
      <c r="AT24" s="44"/>
      <c r="AU24" s="26">
        <f t="shared" si="3"/>
        <v>73033</v>
      </c>
      <c r="AV24" s="26">
        <v>8772</v>
      </c>
      <c r="AW24" s="26">
        <v>64261</v>
      </c>
      <c r="AX24" s="44"/>
      <c r="AY24" s="26"/>
      <c r="AZ24" s="26"/>
      <c r="BA24" s="26"/>
      <c r="BB24" s="44"/>
      <c r="BC24" s="26"/>
      <c r="BD24" s="26"/>
      <c r="BE24" s="26"/>
      <c r="BF24" s="44"/>
      <c r="BG24" s="26">
        <f t="shared" si="4"/>
        <v>39256</v>
      </c>
      <c r="BH24" s="26">
        <v>3156</v>
      </c>
      <c r="BI24" s="26">
        <v>36100</v>
      </c>
      <c r="BJ24" s="44"/>
      <c r="BK24" s="26"/>
      <c r="BL24" s="26"/>
      <c r="BM24" s="26"/>
      <c r="BN24" s="44"/>
      <c r="BO24" s="26"/>
      <c r="BP24" s="26"/>
      <c r="BQ24" s="26"/>
      <c r="BR24" s="44"/>
      <c r="BS24" s="54"/>
      <c r="BT24" s="54"/>
      <c r="BU24" s="54"/>
      <c r="BV24" s="44"/>
      <c r="BW24" s="54">
        <f t="shared" si="5"/>
        <v>39256</v>
      </c>
      <c r="BX24" s="54">
        <f t="shared" si="23"/>
        <v>1611</v>
      </c>
      <c r="BY24" s="54">
        <f t="shared" si="23"/>
        <v>37645</v>
      </c>
      <c r="BZ24" s="44"/>
      <c r="CA24" s="54">
        <f t="shared" si="6"/>
        <v>112289</v>
      </c>
      <c r="CB24" s="54">
        <f t="shared" si="7"/>
        <v>10383</v>
      </c>
      <c r="CC24" s="54">
        <f t="shared" si="7"/>
        <v>101906</v>
      </c>
      <c r="CD24" s="44"/>
      <c r="CE24" s="26"/>
      <c r="CF24" s="26"/>
      <c r="CG24" s="26"/>
      <c r="CH24" s="44"/>
      <c r="CI24" s="26"/>
      <c r="CJ24" s="26"/>
      <c r="CK24" s="26">
        <v>85000</v>
      </c>
      <c r="CL24" s="44"/>
      <c r="CM24" s="26">
        <f t="shared" si="18"/>
        <v>101979.61</v>
      </c>
      <c r="CN24" s="2">
        <f>16361.68+15617.93</f>
        <v>31979.61</v>
      </c>
      <c r="CO24" s="60">
        <v>70000</v>
      </c>
      <c r="CP24" s="44"/>
      <c r="CQ24" s="61">
        <f t="shared" si="10"/>
        <v>475998</v>
      </c>
      <c r="CR24" s="62">
        <v>60998</v>
      </c>
      <c r="CS24" s="63">
        <v>415000</v>
      </c>
      <c r="CT24" s="44"/>
      <c r="CU24" s="61">
        <f t="shared" si="11"/>
        <v>376660</v>
      </c>
      <c r="CV24" s="62">
        <v>31660</v>
      </c>
      <c r="CW24" s="63">
        <v>345000</v>
      </c>
      <c r="CX24" s="44"/>
      <c r="CY24" s="61">
        <f t="shared" si="12"/>
        <v>251937.5</v>
      </c>
      <c r="CZ24" s="62">
        <f>14875+12062.5</f>
        <v>26937.5</v>
      </c>
      <c r="DA24" s="63">
        <v>225000</v>
      </c>
      <c r="DB24" s="44"/>
      <c r="DC24" s="61">
        <f t="shared" si="13"/>
        <v>163093</v>
      </c>
      <c r="DD24" s="64">
        <v>53093</v>
      </c>
      <c r="DE24" s="29">
        <v>110000</v>
      </c>
      <c r="DF24" s="44"/>
      <c r="DG24" s="61">
        <f t="shared" si="14"/>
        <v>154669</v>
      </c>
      <c r="DH24" s="65">
        <v>49669</v>
      </c>
      <c r="DI24" s="63">
        <v>105000</v>
      </c>
      <c r="DJ24" s="44"/>
      <c r="DK24" s="61">
        <f t="shared" si="15"/>
        <v>86072.78</v>
      </c>
      <c r="DL24" s="64">
        <f>12536.39*2</f>
        <v>25072.78</v>
      </c>
      <c r="DM24" s="29">
        <v>61000</v>
      </c>
      <c r="DN24" s="44"/>
      <c r="DO24" s="54">
        <f t="shared" si="19"/>
        <v>662977.61</v>
      </c>
      <c r="DP24" s="54">
        <f t="shared" si="20"/>
        <v>92977.61</v>
      </c>
      <c r="DQ24" s="54">
        <f t="shared" si="20"/>
        <v>570000</v>
      </c>
      <c r="DR24" s="44"/>
      <c r="DS24" s="54">
        <f t="shared" si="16"/>
        <v>1032432.28</v>
      </c>
      <c r="DT24" s="54">
        <f t="shared" si="21"/>
        <v>186432.28</v>
      </c>
      <c r="DU24" s="54">
        <f t="shared" si="21"/>
        <v>846000</v>
      </c>
      <c r="DV24" s="44"/>
      <c r="DW24" s="54">
        <f t="shared" si="17"/>
        <v>1695409.8900000001</v>
      </c>
      <c r="DX24" s="54">
        <f t="shared" si="22"/>
        <v>279409.89</v>
      </c>
      <c r="DY24" s="54">
        <f t="shared" si="22"/>
        <v>1416000</v>
      </c>
      <c r="DZ24" s="44"/>
    </row>
    <row r="25" spans="1:130" x14ac:dyDescent="0.2">
      <c r="A25" s="58">
        <v>2033</v>
      </c>
      <c r="B25" s="44"/>
      <c r="C25" s="26"/>
      <c r="D25" s="26"/>
      <c r="E25" s="26"/>
      <c r="F25" s="44"/>
      <c r="G25" s="26"/>
      <c r="H25" s="26"/>
      <c r="I25" s="26"/>
      <c r="J25" s="44"/>
      <c r="K25" s="26"/>
      <c r="L25" s="26"/>
      <c r="M25" s="26"/>
      <c r="N25" s="44"/>
      <c r="O25" s="26"/>
      <c r="P25" s="26"/>
      <c r="Q25" s="26"/>
      <c r="R25" s="44"/>
      <c r="S25" s="54"/>
      <c r="T25" s="54"/>
      <c r="U25" s="54"/>
      <c r="V25" s="44"/>
      <c r="W25" s="26"/>
      <c r="X25" s="26"/>
      <c r="Y25" s="26"/>
      <c r="Z25" s="44"/>
      <c r="AA25" s="26"/>
      <c r="AB25" s="26"/>
      <c r="AC25" s="26"/>
      <c r="AD25" s="44"/>
      <c r="AE25" s="26"/>
      <c r="AF25" s="26"/>
      <c r="AG25" s="26"/>
      <c r="AH25" s="44"/>
      <c r="AI25" s="67"/>
      <c r="AJ25" s="67"/>
      <c r="AK25" s="67"/>
      <c r="AL25" s="44"/>
      <c r="AM25" s="26"/>
      <c r="AN25" s="26"/>
      <c r="AO25" s="26"/>
      <c r="AP25" s="44"/>
      <c r="AQ25" s="26"/>
      <c r="AR25" s="26"/>
      <c r="AS25" s="26"/>
      <c r="AT25" s="44"/>
      <c r="AU25" s="26">
        <f t="shared" si="3"/>
        <v>73032</v>
      </c>
      <c r="AV25" s="26">
        <v>6483</v>
      </c>
      <c r="AW25" s="26">
        <v>66549</v>
      </c>
      <c r="AX25" s="44"/>
      <c r="AY25" s="26"/>
      <c r="AZ25" s="26"/>
      <c r="BA25" s="26"/>
      <c r="BB25" s="44"/>
      <c r="BC25" s="26"/>
      <c r="BD25" s="26"/>
      <c r="BE25" s="26"/>
      <c r="BF25" s="44"/>
      <c r="BG25" s="26">
        <f t="shared" si="4"/>
        <v>39256</v>
      </c>
      <c r="BH25" s="26">
        <v>1611</v>
      </c>
      <c r="BI25" s="26">
        <v>37645</v>
      </c>
      <c r="BJ25" s="44"/>
      <c r="BK25" s="26"/>
      <c r="BL25" s="26"/>
      <c r="BM25" s="26"/>
      <c r="BN25" s="44"/>
      <c r="BO25" s="26"/>
      <c r="BP25" s="26"/>
      <c r="BQ25" s="26"/>
      <c r="BR25" s="44"/>
      <c r="BS25" s="54"/>
      <c r="BT25" s="54"/>
      <c r="BU25" s="54"/>
      <c r="BV25" s="44"/>
      <c r="BW25" s="54"/>
      <c r="BX25" s="54"/>
      <c r="BY25" s="54"/>
      <c r="BZ25" s="44"/>
      <c r="CA25" s="54">
        <f t="shared" si="6"/>
        <v>73032</v>
      </c>
      <c r="CB25" s="54">
        <f t="shared" ref="CB25:CC27" si="24">+BX26+T26+AV25</f>
        <v>6483</v>
      </c>
      <c r="CC25" s="54">
        <f t="shared" si="24"/>
        <v>66549</v>
      </c>
      <c r="CD25" s="44"/>
      <c r="CE25" s="26"/>
      <c r="CF25" s="26"/>
      <c r="CG25" s="26"/>
      <c r="CH25" s="44"/>
      <c r="CI25" s="26"/>
      <c r="CJ25" s="26"/>
      <c r="CK25" s="26">
        <v>85000</v>
      </c>
      <c r="CL25" s="44"/>
      <c r="CM25" s="26">
        <f t="shared" si="18"/>
        <v>105438.98999999999</v>
      </c>
      <c r="CN25" s="2">
        <f>15617.93+14821.06</f>
        <v>30438.989999999998</v>
      </c>
      <c r="CO25" s="60">
        <v>75000</v>
      </c>
      <c r="CP25" s="44"/>
      <c r="CQ25" s="61">
        <f t="shared" si="10"/>
        <v>475498</v>
      </c>
      <c r="CR25" s="62">
        <v>50498</v>
      </c>
      <c r="CS25" s="63">
        <v>425000</v>
      </c>
      <c r="CT25" s="44"/>
      <c r="CU25" s="61">
        <f t="shared" si="11"/>
        <v>377910</v>
      </c>
      <c r="CV25" s="62">
        <v>22910</v>
      </c>
      <c r="CW25" s="63">
        <v>355000</v>
      </c>
      <c r="CX25" s="44"/>
      <c r="CY25" s="61">
        <f t="shared" si="12"/>
        <v>251250</v>
      </c>
      <c r="CZ25" s="62">
        <f>12062.5+9187.5</f>
        <v>21250</v>
      </c>
      <c r="DA25" s="63">
        <v>230000</v>
      </c>
      <c r="DB25" s="44"/>
      <c r="DC25" s="61">
        <f t="shared" si="13"/>
        <v>165280</v>
      </c>
      <c r="DD25" s="64">
        <v>50280</v>
      </c>
      <c r="DE25" s="29">
        <v>115000</v>
      </c>
      <c r="DF25" s="44"/>
      <c r="DG25" s="61">
        <f t="shared" si="14"/>
        <v>152044</v>
      </c>
      <c r="DH25" s="65">
        <v>47044</v>
      </c>
      <c r="DI25" s="63">
        <v>105000</v>
      </c>
      <c r="DJ25" s="44"/>
      <c r="DK25" s="61">
        <f t="shared" si="15"/>
        <v>84852.78</v>
      </c>
      <c r="DL25" s="64">
        <f>11926.39*2</f>
        <v>23852.78</v>
      </c>
      <c r="DM25" s="29">
        <v>61000</v>
      </c>
      <c r="DN25" s="44"/>
      <c r="DO25" s="54">
        <f t="shared" si="19"/>
        <v>665936.99</v>
      </c>
      <c r="DP25" s="54">
        <f t="shared" si="20"/>
        <v>80936.989999999991</v>
      </c>
      <c r="DQ25" s="54">
        <f t="shared" si="20"/>
        <v>585000</v>
      </c>
      <c r="DR25" s="44"/>
      <c r="DS25" s="54">
        <f t="shared" si="16"/>
        <v>1031336.78</v>
      </c>
      <c r="DT25" s="54">
        <f t="shared" si="21"/>
        <v>165336.78</v>
      </c>
      <c r="DU25" s="54">
        <f t="shared" si="21"/>
        <v>866000</v>
      </c>
      <c r="DV25" s="44"/>
      <c r="DW25" s="54">
        <f t="shared" si="17"/>
        <v>1697273.77</v>
      </c>
      <c r="DX25" s="54">
        <f t="shared" si="22"/>
        <v>246273.77</v>
      </c>
      <c r="DY25" s="54">
        <f t="shared" si="22"/>
        <v>1451000</v>
      </c>
      <c r="DZ25" s="44"/>
    </row>
    <row r="26" spans="1:130" x14ac:dyDescent="0.2">
      <c r="A26" s="58">
        <v>2034</v>
      </c>
      <c r="B26" s="44"/>
      <c r="C26" s="26"/>
      <c r="D26" s="26"/>
      <c r="E26" s="26"/>
      <c r="F26" s="44"/>
      <c r="G26" s="26"/>
      <c r="H26" s="26"/>
      <c r="I26" s="26"/>
      <c r="J26" s="44"/>
      <c r="K26" s="26"/>
      <c r="L26" s="26"/>
      <c r="M26" s="26"/>
      <c r="N26" s="44"/>
      <c r="O26" s="26"/>
      <c r="P26" s="26"/>
      <c r="Q26" s="26"/>
      <c r="R26" s="44"/>
      <c r="S26" s="54"/>
      <c r="T26" s="54"/>
      <c r="U26" s="54"/>
      <c r="V26" s="44"/>
      <c r="W26" s="26"/>
      <c r="X26" s="26"/>
      <c r="Y26" s="26"/>
      <c r="Z26" s="44"/>
      <c r="AA26" s="26"/>
      <c r="AB26" s="26"/>
      <c r="AC26" s="26"/>
      <c r="AD26" s="44"/>
      <c r="AE26" s="26"/>
      <c r="AF26" s="26"/>
      <c r="AG26" s="26"/>
      <c r="AH26" s="44"/>
      <c r="AI26" s="67"/>
      <c r="AJ26" s="67"/>
      <c r="AK26" s="67"/>
      <c r="AL26" s="44"/>
      <c r="AM26" s="26"/>
      <c r="AN26" s="26"/>
      <c r="AO26" s="26"/>
      <c r="AP26" s="44"/>
      <c r="AQ26" s="26"/>
      <c r="AR26" s="26"/>
      <c r="AS26" s="26"/>
      <c r="AT26" s="44"/>
      <c r="AU26" s="26">
        <f t="shared" si="3"/>
        <v>73033</v>
      </c>
      <c r="AV26" s="26">
        <v>4077</v>
      </c>
      <c r="AW26" s="26">
        <v>68956</v>
      </c>
      <c r="AX26" s="44"/>
      <c r="AY26" s="26"/>
      <c r="AZ26" s="26"/>
      <c r="BA26" s="26"/>
      <c r="BB26" s="44"/>
      <c r="BC26" s="26"/>
      <c r="BD26" s="26"/>
      <c r="BE26" s="26"/>
      <c r="BF26" s="44"/>
      <c r="BG26" s="26"/>
      <c r="BH26" s="26"/>
      <c r="BI26" s="26"/>
      <c r="BJ26" s="44"/>
      <c r="BK26" s="26"/>
      <c r="BL26" s="26"/>
      <c r="BM26" s="26"/>
      <c r="BN26" s="44"/>
      <c r="BO26" s="26"/>
      <c r="BP26" s="26"/>
      <c r="BQ26" s="26"/>
      <c r="BR26" s="44"/>
      <c r="BS26" s="54"/>
      <c r="BT26" s="54"/>
      <c r="BU26" s="54"/>
      <c r="BV26" s="44"/>
      <c r="BW26" s="54"/>
      <c r="BX26" s="54"/>
      <c r="BY26" s="54"/>
      <c r="BZ26" s="44"/>
      <c r="CA26" s="54">
        <f t="shared" si="6"/>
        <v>73033</v>
      </c>
      <c r="CB26" s="54">
        <f t="shared" si="24"/>
        <v>4077</v>
      </c>
      <c r="CC26" s="54">
        <f t="shared" si="24"/>
        <v>68956</v>
      </c>
      <c r="CD26" s="44"/>
      <c r="CE26" s="26"/>
      <c r="CF26" s="26"/>
      <c r="CG26" s="26"/>
      <c r="CH26" s="44"/>
      <c r="CI26" s="26"/>
      <c r="CJ26" s="26"/>
      <c r="CK26" s="26">
        <v>90000</v>
      </c>
      <c r="CL26" s="44"/>
      <c r="CM26" s="26">
        <f t="shared" si="18"/>
        <v>103845.23999999999</v>
      </c>
      <c r="CN26" s="2">
        <f>14821.06+14024.18</f>
        <v>28845.239999999998</v>
      </c>
      <c r="CO26" s="60">
        <v>75000</v>
      </c>
      <c r="CP26" s="44"/>
      <c r="CQ26" s="61">
        <f t="shared" si="10"/>
        <v>474748</v>
      </c>
      <c r="CR26" s="62">
        <v>39748</v>
      </c>
      <c r="CS26" s="63">
        <v>435000</v>
      </c>
      <c r="CT26" s="44"/>
      <c r="CU26" s="61">
        <f t="shared" si="11"/>
        <v>378910</v>
      </c>
      <c r="CV26" s="62">
        <v>13910</v>
      </c>
      <c r="CW26" s="63">
        <v>365000</v>
      </c>
      <c r="CX26" s="44"/>
      <c r="CY26" s="61">
        <f t="shared" si="12"/>
        <v>255375</v>
      </c>
      <c r="CZ26" s="62">
        <f>9187.5+6187.5</f>
        <v>15375</v>
      </c>
      <c r="DA26" s="63">
        <v>240000</v>
      </c>
      <c r="DB26" s="44"/>
      <c r="DC26" s="61">
        <f t="shared" si="13"/>
        <v>167343</v>
      </c>
      <c r="DD26" s="64">
        <v>47343</v>
      </c>
      <c r="DE26" s="29">
        <v>120000</v>
      </c>
      <c r="DF26" s="44"/>
      <c r="DG26" s="61">
        <f t="shared" si="14"/>
        <v>154356</v>
      </c>
      <c r="DH26" s="65">
        <v>44356</v>
      </c>
      <c r="DI26" s="63">
        <v>110000</v>
      </c>
      <c r="DJ26" s="44"/>
      <c r="DK26" s="61">
        <f t="shared" si="15"/>
        <v>88632.78</v>
      </c>
      <c r="DL26" s="64">
        <f>11316.39*2</f>
        <v>22632.78</v>
      </c>
      <c r="DM26" s="29">
        <v>66000</v>
      </c>
      <c r="DN26" s="44"/>
      <c r="DO26" s="54">
        <f t="shared" si="19"/>
        <v>668593.24</v>
      </c>
      <c r="DP26" s="54">
        <f t="shared" si="20"/>
        <v>68593.239999999991</v>
      </c>
      <c r="DQ26" s="54">
        <f t="shared" si="20"/>
        <v>600000</v>
      </c>
      <c r="DR26" s="44"/>
      <c r="DS26" s="54">
        <f t="shared" si="16"/>
        <v>1044616.78</v>
      </c>
      <c r="DT26" s="54">
        <f t="shared" si="21"/>
        <v>143616.78</v>
      </c>
      <c r="DU26" s="54">
        <f t="shared" si="21"/>
        <v>901000</v>
      </c>
      <c r="DV26" s="44"/>
      <c r="DW26" s="54">
        <f t="shared" si="17"/>
        <v>1713210.02</v>
      </c>
      <c r="DX26" s="54">
        <f t="shared" si="22"/>
        <v>212210.02</v>
      </c>
      <c r="DY26" s="54">
        <f t="shared" si="22"/>
        <v>1501000</v>
      </c>
      <c r="DZ26" s="44"/>
    </row>
    <row r="27" spans="1:130" x14ac:dyDescent="0.2">
      <c r="A27" s="58">
        <v>2035</v>
      </c>
      <c r="B27" s="44"/>
      <c r="C27" s="26"/>
      <c r="D27" s="26"/>
      <c r="E27" s="26"/>
      <c r="F27" s="44"/>
      <c r="G27" s="26"/>
      <c r="H27" s="26"/>
      <c r="I27" s="26"/>
      <c r="J27" s="44"/>
      <c r="K27" s="26"/>
      <c r="L27" s="26"/>
      <c r="M27" s="26"/>
      <c r="N27" s="44"/>
      <c r="O27" s="26"/>
      <c r="P27" s="26"/>
      <c r="Q27" s="26"/>
      <c r="R27" s="44"/>
      <c r="S27" s="54"/>
      <c r="T27" s="54"/>
      <c r="U27" s="54"/>
      <c r="V27" s="44"/>
      <c r="W27" s="26"/>
      <c r="X27" s="26"/>
      <c r="Y27" s="26"/>
      <c r="Z27" s="44"/>
      <c r="AA27" s="26"/>
      <c r="AB27" s="26"/>
      <c r="AC27" s="26"/>
      <c r="AD27" s="44"/>
      <c r="AE27" s="26"/>
      <c r="AF27" s="26"/>
      <c r="AG27" s="26"/>
      <c r="AH27" s="44"/>
      <c r="AI27" s="67"/>
      <c r="AJ27" s="67"/>
      <c r="AK27" s="67"/>
      <c r="AL27" s="44"/>
      <c r="AM27" s="26"/>
      <c r="AN27" s="26"/>
      <c r="AO27" s="26"/>
      <c r="AP27" s="44"/>
      <c r="AQ27" s="26"/>
      <c r="AR27" s="26"/>
      <c r="AS27" s="26"/>
      <c r="AT27" s="44"/>
      <c r="AU27" s="26">
        <f t="shared" si="3"/>
        <v>46227</v>
      </c>
      <c r="AV27" s="26">
        <v>1602</v>
      </c>
      <c r="AW27" s="26">
        <v>44625</v>
      </c>
      <c r="AX27" s="44"/>
      <c r="AY27" s="26"/>
      <c r="AZ27" s="26"/>
      <c r="BA27" s="26"/>
      <c r="BB27" s="44"/>
      <c r="BC27" s="26"/>
      <c r="BD27" s="26"/>
      <c r="BE27" s="26"/>
      <c r="BF27" s="44"/>
      <c r="BG27" s="26"/>
      <c r="BH27" s="26"/>
      <c r="BI27" s="26"/>
      <c r="BJ27" s="44"/>
      <c r="BK27" s="26"/>
      <c r="BL27" s="26"/>
      <c r="BM27" s="26"/>
      <c r="BN27" s="44"/>
      <c r="BR27" s="44"/>
      <c r="BS27" s="54"/>
      <c r="BT27" s="54"/>
      <c r="BU27" s="54"/>
      <c r="BV27" s="44"/>
      <c r="BW27" s="54"/>
      <c r="BX27" s="54"/>
      <c r="BY27" s="54"/>
      <c r="BZ27" s="44"/>
      <c r="CA27" s="54">
        <f t="shared" si="6"/>
        <v>46227</v>
      </c>
      <c r="CB27" s="54">
        <f t="shared" si="24"/>
        <v>1602</v>
      </c>
      <c r="CC27" s="54">
        <f t="shared" si="24"/>
        <v>44625</v>
      </c>
      <c r="CD27" s="44"/>
      <c r="CE27" s="26"/>
      <c r="CF27" s="26"/>
      <c r="CG27" s="26"/>
      <c r="CH27" s="44"/>
      <c r="CI27" s="26"/>
      <c r="CJ27" s="26"/>
      <c r="CK27" s="26">
        <v>90000</v>
      </c>
      <c r="CL27" s="44"/>
      <c r="CM27" s="26">
        <f t="shared" si="18"/>
        <v>102251.48999999999</v>
      </c>
      <c r="CN27" s="2">
        <f>14024.18+13227.31</f>
        <v>27251.489999999998</v>
      </c>
      <c r="CO27" s="60">
        <v>75000</v>
      </c>
      <c r="CP27" s="44"/>
      <c r="CQ27" s="61">
        <f t="shared" si="10"/>
        <v>473748</v>
      </c>
      <c r="CR27" s="62">
        <v>28748</v>
      </c>
      <c r="CS27" s="63">
        <v>445000</v>
      </c>
      <c r="CT27" s="44"/>
      <c r="CU27" s="61">
        <f t="shared" si="11"/>
        <v>378566</v>
      </c>
      <c r="CV27" s="62">
        <v>4674</v>
      </c>
      <c r="CW27" s="63">
        <v>373892</v>
      </c>
      <c r="CX27" s="44"/>
      <c r="CY27" s="61">
        <f t="shared" si="12"/>
        <v>254312.5</v>
      </c>
      <c r="CZ27" s="62">
        <f>6187.5+3125</f>
        <v>9312.5</v>
      </c>
      <c r="DA27" s="63">
        <v>245000</v>
      </c>
      <c r="DB27" s="44"/>
      <c r="DC27" s="61">
        <f t="shared" si="13"/>
        <v>164343</v>
      </c>
      <c r="DD27" s="64">
        <v>44343</v>
      </c>
      <c r="DE27" s="29">
        <v>120000</v>
      </c>
      <c r="DF27" s="44"/>
      <c r="DG27" s="61">
        <f t="shared" si="14"/>
        <v>151606</v>
      </c>
      <c r="DH27" s="65">
        <v>41606</v>
      </c>
      <c r="DI27" s="63">
        <v>110000</v>
      </c>
      <c r="DJ27" s="44"/>
      <c r="DK27" s="61">
        <f t="shared" si="15"/>
        <v>87312.78</v>
      </c>
      <c r="DL27" s="64">
        <f>10656.39*2</f>
        <v>21312.78</v>
      </c>
      <c r="DM27" s="29">
        <v>66000</v>
      </c>
      <c r="DN27" s="44"/>
      <c r="DO27" s="54">
        <f t="shared" si="19"/>
        <v>665999.49</v>
      </c>
      <c r="DP27" s="54">
        <f t="shared" si="20"/>
        <v>55999.49</v>
      </c>
      <c r="DQ27" s="54">
        <f t="shared" si="20"/>
        <v>610000</v>
      </c>
      <c r="DR27" s="44"/>
      <c r="DS27" s="54">
        <f t="shared" si="16"/>
        <v>1036140.28</v>
      </c>
      <c r="DT27" s="54">
        <f t="shared" si="21"/>
        <v>121248.28</v>
      </c>
      <c r="DU27" s="54">
        <f t="shared" si="21"/>
        <v>914892</v>
      </c>
      <c r="DV27" s="44"/>
      <c r="DW27" s="54">
        <f t="shared" si="17"/>
        <v>1702139.77</v>
      </c>
      <c r="DX27" s="54">
        <f t="shared" si="22"/>
        <v>177247.77</v>
      </c>
      <c r="DY27" s="54">
        <f t="shared" si="22"/>
        <v>1524892</v>
      </c>
      <c r="DZ27" s="44"/>
    </row>
    <row r="28" spans="1:130" x14ac:dyDescent="0.2">
      <c r="A28" s="58">
        <v>2036</v>
      </c>
      <c r="B28" s="44"/>
      <c r="C28" s="26"/>
      <c r="D28" s="26"/>
      <c r="E28" s="26"/>
      <c r="F28" s="44"/>
      <c r="G28" s="11"/>
      <c r="H28" s="26"/>
      <c r="I28" s="26"/>
      <c r="J28" s="44"/>
      <c r="K28" s="26"/>
      <c r="L28" s="26"/>
      <c r="M28" s="26"/>
      <c r="N28" s="44"/>
      <c r="O28" s="26"/>
      <c r="P28" s="26"/>
      <c r="Q28" s="26"/>
      <c r="R28" s="44"/>
      <c r="S28" s="54"/>
      <c r="T28" s="54"/>
      <c r="U28" s="54"/>
      <c r="V28" s="44"/>
      <c r="W28" s="26"/>
      <c r="X28" s="26"/>
      <c r="Y28" s="26"/>
      <c r="Z28" s="44"/>
      <c r="AA28" s="26"/>
      <c r="AB28" s="26"/>
      <c r="AC28" s="26"/>
      <c r="AD28" s="44"/>
      <c r="AE28" s="26"/>
      <c r="AF28" s="26"/>
      <c r="AG28" s="26"/>
      <c r="AH28" s="44"/>
      <c r="AI28" s="67"/>
      <c r="AJ28" s="67"/>
      <c r="AK28" s="67"/>
      <c r="AL28" s="44"/>
      <c r="AM28" s="26"/>
      <c r="AN28" s="26"/>
      <c r="AO28" s="26"/>
      <c r="AP28" s="44"/>
      <c r="AQ28" s="26"/>
      <c r="AR28" s="26"/>
      <c r="AS28" s="26"/>
      <c r="AT28" s="44"/>
      <c r="AX28" s="44"/>
      <c r="AY28" s="26"/>
      <c r="AZ28" s="26"/>
      <c r="BA28" s="26"/>
      <c r="BB28" s="44"/>
      <c r="BC28" s="26"/>
      <c r="BD28" s="26"/>
      <c r="BE28" s="26"/>
      <c r="BF28" s="44"/>
      <c r="BG28" s="26"/>
      <c r="BH28" s="26"/>
      <c r="BI28" s="26"/>
      <c r="BJ28" s="44"/>
      <c r="BK28" s="26"/>
      <c r="BL28" s="26"/>
      <c r="BM28" s="26"/>
      <c r="BN28" s="44"/>
      <c r="BO28" s="26"/>
      <c r="BP28" s="26"/>
      <c r="BQ28" s="26"/>
      <c r="BR28" s="44"/>
      <c r="BS28" s="54"/>
      <c r="BT28" s="54"/>
      <c r="BU28" s="54"/>
      <c r="BV28" s="44"/>
      <c r="BW28" s="54"/>
      <c r="BX28" s="54"/>
      <c r="BY28" s="54"/>
      <c r="BZ28" s="44"/>
      <c r="CA28" s="54"/>
      <c r="CB28" s="54"/>
      <c r="CC28" s="54"/>
      <c r="CD28" s="44"/>
      <c r="CE28" s="26"/>
      <c r="CF28" s="26"/>
      <c r="CG28" s="26"/>
      <c r="CH28" s="44"/>
      <c r="CI28" s="26"/>
      <c r="CJ28" s="26"/>
      <c r="CK28" s="26">
        <v>95000</v>
      </c>
      <c r="CL28" s="44"/>
      <c r="CM28" s="26">
        <f t="shared" si="18"/>
        <v>105604.62</v>
      </c>
      <c r="CN28" s="2">
        <f>13227.31+12377.31</f>
        <v>25604.62</v>
      </c>
      <c r="CO28" s="60">
        <v>80000</v>
      </c>
      <c r="CP28" s="44"/>
      <c r="CQ28" s="68">
        <f t="shared" si="10"/>
        <v>477436</v>
      </c>
      <c r="CR28" s="62">
        <v>17436</v>
      </c>
      <c r="CS28" s="63">
        <v>460000</v>
      </c>
      <c r="CT28" s="44"/>
      <c r="CU28" s="61"/>
      <c r="CV28" s="62"/>
      <c r="CW28" s="63"/>
      <c r="CX28" s="44"/>
      <c r="CY28" s="63">
        <f t="shared" si="12"/>
        <v>253125</v>
      </c>
      <c r="CZ28" s="62">
        <v>3125</v>
      </c>
      <c r="DA28" s="63">
        <v>250000</v>
      </c>
      <c r="DB28" s="44"/>
      <c r="DC28" s="61">
        <f t="shared" si="13"/>
        <v>166280</v>
      </c>
      <c r="DD28" s="64">
        <v>41280</v>
      </c>
      <c r="DE28" s="29">
        <v>125000</v>
      </c>
      <c r="DF28" s="44"/>
      <c r="DG28" s="61">
        <f t="shared" si="14"/>
        <v>153794</v>
      </c>
      <c r="DH28" s="65">
        <v>38794</v>
      </c>
      <c r="DI28" s="63">
        <v>115000</v>
      </c>
      <c r="DJ28" s="44"/>
      <c r="DK28" s="61">
        <f t="shared" si="15"/>
        <v>85992.78</v>
      </c>
      <c r="DL28" s="64">
        <f>9996.39*2</f>
        <v>19992.78</v>
      </c>
      <c r="DM28" s="29">
        <v>66000</v>
      </c>
      <c r="DN28" s="44"/>
      <c r="DO28" s="54">
        <f t="shared" si="19"/>
        <v>678040.62</v>
      </c>
      <c r="DP28" s="54">
        <f t="shared" si="20"/>
        <v>43040.619999999995</v>
      </c>
      <c r="DQ28" s="54">
        <f t="shared" si="20"/>
        <v>635000</v>
      </c>
      <c r="DR28" s="44"/>
      <c r="DS28" s="54">
        <f t="shared" si="16"/>
        <v>659191.78</v>
      </c>
      <c r="DT28" s="54">
        <f t="shared" si="21"/>
        <v>103191.78</v>
      </c>
      <c r="DU28" s="54">
        <f t="shared" si="21"/>
        <v>556000</v>
      </c>
      <c r="DV28" s="44"/>
      <c r="DW28" s="54">
        <f t="shared" si="17"/>
        <v>1337232.3999999999</v>
      </c>
      <c r="DX28" s="54">
        <f t="shared" si="22"/>
        <v>146232.4</v>
      </c>
      <c r="DY28" s="54">
        <f t="shared" si="22"/>
        <v>1191000</v>
      </c>
      <c r="DZ28" s="44"/>
    </row>
    <row r="29" spans="1:130" x14ac:dyDescent="0.2">
      <c r="A29" s="58">
        <v>2037</v>
      </c>
      <c r="B29" s="44"/>
      <c r="C29" s="26"/>
      <c r="D29" s="26"/>
      <c r="E29" s="26"/>
      <c r="F29" s="44"/>
      <c r="G29" s="26"/>
      <c r="H29" s="26"/>
      <c r="I29" s="26"/>
      <c r="J29" s="44"/>
      <c r="K29" s="26"/>
      <c r="L29" s="26"/>
      <c r="M29" s="26"/>
      <c r="N29" s="44"/>
      <c r="O29" s="26"/>
      <c r="P29" s="26"/>
      <c r="Q29" s="26"/>
      <c r="R29" s="44"/>
      <c r="S29" s="54"/>
      <c r="T29" s="54"/>
      <c r="U29" s="54"/>
      <c r="V29" s="44"/>
      <c r="W29" s="26"/>
      <c r="X29" s="26"/>
      <c r="Y29" s="26"/>
      <c r="Z29" s="44"/>
      <c r="AA29" s="26"/>
      <c r="AB29" s="26"/>
      <c r="AC29" s="26"/>
      <c r="AD29" s="44"/>
      <c r="AE29" s="26"/>
      <c r="AF29" s="26"/>
      <c r="AG29" s="26"/>
      <c r="AH29" s="44"/>
      <c r="AI29" s="67"/>
      <c r="AJ29" s="67"/>
      <c r="AK29" s="67"/>
      <c r="AL29" s="44"/>
      <c r="AM29" s="26"/>
      <c r="AN29" s="26"/>
      <c r="AO29" s="26"/>
      <c r="AP29" s="44"/>
      <c r="AQ29" s="26"/>
      <c r="AR29" s="26"/>
      <c r="AS29" s="26"/>
      <c r="AT29" s="44"/>
      <c r="AU29" s="26"/>
      <c r="AV29" s="26"/>
      <c r="AW29" s="26"/>
      <c r="AX29" s="44"/>
      <c r="AY29" s="26"/>
      <c r="AZ29" s="26"/>
      <c r="BA29" s="26"/>
      <c r="BB29" s="44"/>
      <c r="BC29" s="26"/>
      <c r="BD29" s="26"/>
      <c r="BE29" s="26"/>
      <c r="BF29" s="44"/>
      <c r="BG29" s="26"/>
      <c r="BH29" s="26"/>
      <c r="BI29" s="26"/>
      <c r="BJ29" s="44"/>
      <c r="BK29" s="26"/>
      <c r="BL29" s="26"/>
      <c r="BM29" s="26"/>
      <c r="BN29" s="44"/>
      <c r="BO29" s="26"/>
      <c r="BP29" s="26"/>
      <c r="BQ29" s="26"/>
      <c r="BR29" s="44"/>
      <c r="BS29" s="54"/>
      <c r="BT29" s="69"/>
      <c r="BU29" s="69"/>
      <c r="BV29" s="44"/>
      <c r="BW29" s="54"/>
      <c r="BX29" s="54"/>
      <c r="BY29" s="54"/>
      <c r="BZ29" s="44"/>
      <c r="CA29" s="54"/>
      <c r="CB29" s="54"/>
      <c r="CC29" s="54"/>
      <c r="CD29" s="44"/>
      <c r="CE29" s="26"/>
      <c r="CF29" s="26"/>
      <c r="CG29" s="26"/>
      <c r="CH29" s="44"/>
      <c r="CI29" s="26"/>
      <c r="CJ29" s="26"/>
      <c r="CK29" s="26">
        <v>95000</v>
      </c>
      <c r="CL29" s="44"/>
      <c r="CM29" s="26">
        <f t="shared" si="18"/>
        <v>103904.62</v>
      </c>
      <c r="CN29" s="2">
        <f>12377.31+11527.31</f>
        <v>23904.62</v>
      </c>
      <c r="CO29" s="60">
        <v>80000</v>
      </c>
      <c r="CP29" s="44"/>
      <c r="CQ29" s="68">
        <f t="shared" si="10"/>
        <v>473278</v>
      </c>
      <c r="CR29" s="62">
        <v>5843</v>
      </c>
      <c r="CS29" s="63">
        <v>467435</v>
      </c>
      <c r="CT29" s="44"/>
      <c r="CU29" s="67"/>
      <c r="CV29" s="67"/>
      <c r="CW29" s="63"/>
      <c r="CX29" s="44"/>
      <c r="CY29" s="63"/>
      <c r="CZ29" s="62"/>
      <c r="DA29" s="63"/>
      <c r="DB29" s="44"/>
      <c r="DC29" s="61">
        <f t="shared" si="13"/>
        <v>163155</v>
      </c>
      <c r="DD29" s="64">
        <v>38155</v>
      </c>
      <c r="DE29" s="29">
        <v>125000</v>
      </c>
      <c r="DF29" s="44"/>
      <c r="DG29" s="61">
        <f t="shared" si="14"/>
        <v>150919</v>
      </c>
      <c r="DH29" s="65">
        <v>35919</v>
      </c>
      <c r="DI29" s="63">
        <v>115000</v>
      </c>
      <c r="DJ29" s="44"/>
      <c r="DK29" s="61">
        <f t="shared" si="15"/>
        <v>84672.78</v>
      </c>
      <c r="DL29" s="64">
        <f>9336.39*2</f>
        <v>18672.78</v>
      </c>
      <c r="DM29" s="29">
        <v>66000</v>
      </c>
      <c r="DN29" s="44"/>
      <c r="DO29" s="54">
        <f t="shared" si="19"/>
        <v>672182.62</v>
      </c>
      <c r="DP29" s="54">
        <f t="shared" si="20"/>
        <v>29747.62</v>
      </c>
      <c r="DQ29" s="54">
        <f t="shared" si="20"/>
        <v>642435</v>
      </c>
      <c r="DR29" s="44"/>
      <c r="DS29" s="54">
        <f t="shared" si="16"/>
        <v>398746.78</v>
      </c>
      <c r="DT29" s="54">
        <f t="shared" si="21"/>
        <v>92746.78</v>
      </c>
      <c r="DU29" s="54">
        <f t="shared" si="21"/>
        <v>306000</v>
      </c>
      <c r="DV29" s="44"/>
      <c r="DW29" s="54">
        <f t="shared" si="17"/>
        <v>1070929.3999999999</v>
      </c>
      <c r="DX29" s="54">
        <f t="shared" si="22"/>
        <v>122494.39999999999</v>
      </c>
      <c r="DY29" s="54">
        <f t="shared" si="22"/>
        <v>948435</v>
      </c>
      <c r="DZ29" s="44"/>
    </row>
    <row r="30" spans="1:130" x14ac:dyDescent="0.2">
      <c r="A30" s="58">
        <v>2038</v>
      </c>
      <c r="B30" s="44"/>
      <c r="C30" s="26"/>
      <c r="D30" s="26"/>
      <c r="E30" s="26"/>
      <c r="F30" s="44"/>
      <c r="G30" s="26"/>
      <c r="H30" s="26"/>
      <c r="I30" s="26"/>
      <c r="J30" s="44"/>
      <c r="K30" s="26"/>
      <c r="L30" s="26"/>
      <c r="M30" s="26"/>
      <c r="N30" s="44"/>
      <c r="O30" s="26"/>
      <c r="P30" s="26"/>
      <c r="Q30" s="26"/>
      <c r="R30" s="44"/>
      <c r="S30" s="54"/>
      <c r="T30" s="54"/>
      <c r="U30" s="54"/>
      <c r="V30" s="44"/>
      <c r="W30" s="26"/>
      <c r="X30" s="26"/>
      <c r="Y30" s="26"/>
      <c r="Z30" s="44"/>
      <c r="AA30" s="26"/>
      <c r="AB30" s="26"/>
      <c r="AC30" s="26"/>
      <c r="AD30" s="44"/>
      <c r="AE30" s="26"/>
      <c r="AF30" s="26"/>
      <c r="AG30" s="26"/>
      <c r="AH30" s="44"/>
      <c r="AI30" s="67"/>
      <c r="AJ30" s="67"/>
      <c r="AK30" s="67"/>
      <c r="AL30" s="44"/>
      <c r="AM30" s="26"/>
      <c r="AN30" s="26"/>
      <c r="AO30" s="26"/>
      <c r="AP30" s="44"/>
      <c r="AQ30" s="26"/>
      <c r="AR30" s="26"/>
      <c r="AS30" s="26"/>
      <c r="AT30" s="44"/>
      <c r="AU30" s="26"/>
      <c r="AV30" s="26"/>
      <c r="AW30" s="26"/>
      <c r="AX30" s="44"/>
      <c r="AY30" s="26"/>
      <c r="AZ30" s="26"/>
      <c r="BA30" s="26"/>
      <c r="BB30" s="44"/>
      <c r="BC30" s="26"/>
      <c r="BD30" s="26"/>
      <c r="BE30" s="26"/>
      <c r="BF30" s="44"/>
      <c r="BG30" s="26"/>
      <c r="BH30" s="26"/>
      <c r="BI30" s="26"/>
      <c r="BJ30" s="44"/>
      <c r="BK30" s="26"/>
      <c r="BL30" s="26"/>
      <c r="BM30" s="26"/>
      <c r="BN30" s="44"/>
      <c r="BO30" s="26"/>
      <c r="BP30" s="26"/>
      <c r="BQ30" s="26"/>
      <c r="BR30" s="44"/>
      <c r="BS30" s="54"/>
      <c r="BT30" s="69"/>
      <c r="BU30" s="69"/>
      <c r="BV30" s="44"/>
      <c r="BW30" s="54"/>
      <c r="BX30" s="54"/>
      <c r="BY30" s="54"/>
      <c r="BZ30" s="44"/>
      <c r="CA30" s="54"/>
      <c r="CB30" s="54"/>
      <c r="CC30" s="54"/>
      <c r="CD30" s="44"/>
      <c r="CE30" s="26"/>
      <c r="CF30" s="26"/>
      <c r="CG30" s="26"/>
      <c r="CH30" s="44"/>
      <c r="CI30" s="26"/>
      <c r="CJ30" s="26"/>
      <c r="CK30" s="26">
        <v>100000</v>
      </c>
      <c r="CL30" s="44"/>
      <c r="CM30" s="26">
        <f t="shared" si="18"/>
        <v>102204.62</v>
      </c>
      <c r="CN30" s="2">
        <f>11527.31+10677.31</f>
        <v>22204.62</v>
      </c>
      <c r="CO30" s="60">
        <v>80000</v>
      </c>
      <c r="CP30" s="44"/>
      <c r="CQ30" s="68"/>
      <c r="CR30" s="62"/>
      <c r="CS30" s="63"/>
      <c r="CT30" s="44"/>
      <c r="CU30" s="67"/>
      <c r="CV30" s="67"/>
      <c r="CW30" s="63"/>
      <c r="CX30" s="44"/>
      <c r="CY30" s="67"/>
      <c r="CZ30" s="67"/>
      <c r="DA30" s="63"/>
      <c r="DB30" s="44"/>
      <c r="DC30" s="61">
        <f t="shared" si="13"/>
        <v>164968</v>
      </c>
      <c r="DD30" s="64">
        <v>34968</v>
      </c>
      <c r="DE30" s="29">
        <v>130000</v>
      </c>
      <c r="DF30" s="44"/>
      <c r="DG30" s="61">
        <f t="shared" si="14"/>
        <v>152981</v>
      </c>
      <c r="DH30" s="65">
        <v>32981</v>
      </c>
      <c r="DI30" s="63">
        <v>120000</v>
      </c>
      <c r="DJ30" s="44"/>
      <c r="DK30" s="61">
        <f t="shared" si="15"/>
        <v>88352.78</v>
      </c>
      <c r="DL30" s="64">
        <f>8676.39*2</f>
        <v>17352.78</v>
      </c>
      <c r="DM30" s="29">
        <v>71000</v>
      </c>
      <c r="DN30" s="44"/>
      <c r="DO30" s="54">
        <f t="shared" si="19"/>
        <v>202204.62</v>
      </c>
      <c r="DP30" s="54">
        <f t="shared" si="20"/>
        <v>22204.62</v>
      </c>
      <c r="DQ30" s="54">
        <f t="shared" si="20"/>
        <v>180000</v>
      </c>
      <c r="DR30" s="44"/>
      <c r="DS30" s="54">
        <f t="shared" si="16"/>
        <v>406301.78</v>
      </c>
      <c r="DT30" s="54">
        <f t="shared" si="21"/>
        <v>85301.78</v>
      </c>
      <c r="DU30" s="54">
        <f t="shared" si="21"/>
        <v>321000</v>
      </c>
      <c r="DV30" s="44"/>
      <c r="DW30" s="54">
        <f t="shared" si="17"/>
        <v>608506.4</v>
      </c>
      <c r="DX30" s="54">
        <f t="shared" si="22"/>
        <v>107506.4</v>
      </c>
      <c r="DY30" s="54">
        <f t="shared" si="22"/>
        <v>501000</v>
      </c>
      <c r="DZ30" s="44"/>
    </row>
    <row r="31" spans="1:130" x14ac:dyDescent="0.2">
      <c r="A31" s="58">
        <v>2039</v>
      </c>
      <c r="B31" s="44"/>
      <c r="C31" s="26"/>
      <c r="D31" s="26"/>
      <c r="E31" s="26"/>
      <c r="F31" s="44"/>
      <c r="G31" s="26"/>
      <c r="H31" s="26"/>
      <c r="I31" s="26"/>
      <c r="J31" s="44"/>
      <c r="K31" s="26"/>
      <c r="L31" s="26"/>
      <c r="M31" s="26"/>
      <c r="N31" s="44"/>
      <c r="O31" s="26"/>
      <c r="P31" s="26"/>
      <c r="Q31" s="26"/>
      <c r="R31" s="44"/>
      <c r="S31" s="54"/>
      <c r="T31" s="54"/>
      <c r="U31" s="54"/>
      <c r="V31" s="44"/>
      <c r="W31" s="26"/>
      <c r="X31" s="26"/>
      <c r="Y31" s="26"/>
      <c r="Z31" s="44"/>
      <c r="AA31" s="26"/>
      <c r="AB31" s="26"/>
      <c r="AC31" s="26"/>
      <c r="AD31" s="44"/>
      <c r="AE31" s="26"/>
      <c r="AF31" s="26"/>
      <c r="AG31" s="26"/>
      <c r="AH31" s="44"/>
      <c r="AI31" s="67"/>
      <c r="AJ31" s="67"/>
      <c r="AK31" s="67"/>
      <c r="AL31" s="44"/>
      <c r="AM31" s="26"/>
      <c r="AN31" s="26"/>
      <c r="AO31" s="26"/>
      <c r="AP31" s="44"/>
      <c r="AQ31" s="26"/>
      <c r="AR31" s="26"/>
      <c r="AS31" s="26"/>
      <c r="AT31" s="44"/>
      <c r="AU31" s="26"/>
      <c r="AV31" s="26"/>
      <c r="AW31" s="26"/>
      <c r="AX31" s="44"/>
      <c r="AY31" s="26"/>
      <c r="AZ31" s="26"/>
      <c r="BA31" s="26"/>
      <c r="BB31" s="44"/>
      <c r="BC31" s="26"/>
      <c r="BD31" s="26"/>
      <c r="BE31" s="26"/>
      <c r="BF31" s="44"/>
      <c r="BG31" s="26"/>
      <c r="BH31" s="26"/>
      <c r="BI31" s="26"/>
      <c r="BJ31" s="44"/>
      <c r="BK31" s="26"/>
      <c r="BL31" s="26"/>
      <c r="BM31" s="26"/>
      <c r="BN31" s="44"/>
      <c r="BO31" s="26"/>
      <c r="BP31" s="26"/>
      <c r="BQ31" s="26"/>
      <c r="BR31" s="44"/>
      <c r="BS31" s="54"/>
      <c r="BT31" s="69"/>
      <c r="BU31" s="69"/>
      <c r="BV31" s="44"/>
      <c r="BW31" s="54"/>
      <c r="BX31" s="69"/>
      <c r="BY31" s="69"/>
      <c r="BZ31" s="44"/>
      <c r="CA31" s="54"/>
      <c r="CB31" s="69"/>
      <c r="CC31" s="69"/>
      <c r="CD31" s="44"/>
      <c r="CE31" s="26"/>
      <c r="CF31" s="26"/>
      <c r="CG31" s="26"/>
      <c r="CH31" s="44"/>
      <c r="CI31" s="26"/>
      <c r="CJ31" s="26"/>
      <c r="CK31" s="26">
        <v>100000</v>
      </c>
      <c r="CL31" s="44"/>
      <c r="CM31" s="26">
        <f t="shared" si="18"/>
        <v>105451.48999999999</v>
      </c>
      <c r="CN31" s="2">
        <f>10677.31+9774.18</f>
        <v>20451.489999999998</v>
      </c>
      <c r="CO31" s="60">
        <v>85000</v>
      </c>
      <c r="CP31" s="44"/>
      <c r="CQ31" s="67"/>
      <c r="CR31" s="67"/>
      <c r="CS31" s="63"/>
      <c r="CT31" s="44"/>
      <c r="CU31" s="67"/>
      <c r="CV31" s="67"/>
      <c r="CW31" s="63"/>
      <c r="CX31" s="44"/>
      <c r="CY31" s="67"/>
      <c r="CZ31" s="67"/>
      <c r="DA31" s="63"/>
      <c r="DB31" s="44"/>
      <c r="DC31" s="61">
        <f t="shared" si="13"/>
        <v>166655</v>
      </c>
      <c r="DD31" s="64">
        <v>31655</v>
      </c>
      <c r="DE31" s="29">
        <v>135000</v>
      </c>
      <c r="DF31" s="44"/>
      <c r="DG31" s="61">
        <f t="shared" si="14"/>
        <v>149981</v>
      </c>
      <c r="DH31" s="65">
        <v>29981</v>
      </c>
      <c r="DI31" s="63">
        <v>120000</v>
      </c>
      <c r="DJ31" s="44"/>
      <c r="DK31" s="61">
        <f t="shared" si="15"/>
        <v>86932.78</v>
      </c>
      <c r="DL31" s="64">
        <f>7966.39*2</f>
        <v>15932.78</v>
      </c>
      <c r="DM31" s="29">
        <v>71000</v>
      </c>
      <c r="DN31" s="44"/>
      <c r="DO31" s="54">
        <f t="shared" si="19"/>
        <v>205451.49</v>
      </c>
      <c r="DP31" s="54">
        <f t="shared" si="20"/>
        <v>20451.489999999998</v>
      </c>
      <c r="DQ31" s="54">
        <f t="shared" si="20"/>
        <v>185000</v>
      </c>
      <c r="DR31" s="44"/>
      <c r="DS31" s="54">
        <f t="shared" si="16"/>
        <v>403568.78</v>
      </c>
      <c r="DT31" s="54">
        <f t="shared" si="21"/>
        <v>77568.78</v>
      </c>
      <c r="DU31" s="54">
        <f t="shared" si="21"/>
        <v>326000</v>
      </c>
      <c r="DV31" s="44"/>
      <c r="DW31" s="54">
        <f t="shared" si="17"/>
        <v>609020.27</v>
      </c>
      <c r="DX31" s="54">
        <f t="shared" si="22"/>
        <v>98020.26999999999</v>
      </c>
      <c r="DY31" s="54">
        <f t="shared" si="22"/>
        <v>511000</v>
      </c>
      <c r="DZ31" s="44"/>
    </row>
    <row r="32" spans="1:130" x14ac:dyDescent="0.2">
      <c r="A32" s="58">
        <v>2040</v>
      </c>
      <c r="B32" s="44"/>
      <c r="C32" s="26"/>
      <c r="D32" s="26"/>
      <c r="E32" s="26"/>
      <c r="F32" s="44"/>
      <c r="G32" s="26"/>
      <c r="H32" s="26"/>
      <c r="I32" s="26"/>
      <c r="J32" s="44"/>
      <c r="K32" s="26"/>
      <c r="L32" s="26"/>
      <c r="M32" s="26"/>
      <c r="N32" s="44"/>
      <c r="O32" s="26"/>
      <c r="P32" s="26"/>
      <c r="Q32" s="26"/>
      <c r="R32" s="44"/>
      <c r="S32" s="54"/>
      <c r="T32" s="54"/>
      <c r="U32" s="54"/>
      <c r="V32" s="44"/>
      <c r="W32" s="26"/>
      <c r="X32" s="26"/>
      <c r="Y32" s="26"/>
      <c r="Z32" s="44"/>
      <c r="AA32" s="26"/>
      <c r="AB32" s="26"/>
      <c r="AC32" s="26"/>
      <c r="AD32" s="44"/>
      <c r="AE32" s="26"/>
      <c r="AF32" s="26"/>
      <c r="AG32" s="26"/>
      <c r="AH32" s="44"/>
      <c r="AI32" s="67"/>
      <c r="AJ32" s="67"/>
      <c r="AK32" s="67"/>
      <c r="AL32" s="44"/>
      <c r="AM32" s="26"/>
      <c r="AN32" s="26"/>
      <c r="AO32" s="26"/>
      <c r="AP32" s="44"/>
      <c r="AQ32" s="26"/>
      <c r="AR32" s="26"/>
      <c r="AS32" s="26"/>
      <c r="AT32" s="44"/>
      <c r="AU32" s="26"/>
      <c r="AV32" s="26"/>
      <c r="AW32" s="26"/>
      <c r="AX32" s="44"/>
      <c r="AY32" s="26"/>
      <c r="AZ32" s="26"/>
      <c r="BA32" s="26"/>
      <c r="BB32" s="44"/>
      <c r="BC32" s="26"/>
      <c r="BD32" s="26"/>
      <c r="BE32" s="26"/>
      <c r="BF32" s="44"/>
      <c r="BG32" s="26"/>
      <c r="BH32" s="26"/>
      <c r="BI32" s="26"/>
      <c r="BJ32" s="44"/>
      <c r="BK32" s="26"/>
      <c r="BL32" s="26"/>
      <c r="BM32" s="26"/>
      <c r="BN32" s="44"/>
      <c r="BO32" s="26"/>
      <c r="BP32" s="26"/>
      <c r="BQ32" s="26"/>
      <c r="BR32" s="44"/>
      <c r="BS32" s="54"/>
      <c r="BT32" s="69"/>
      <c r="BU32" s="69"/>
      <c r="BV32" s="44"/>
      <c r="BW32" s="54"/>
      <c r="BX32" s="69"/>
      <c r="BY32" s="69"/>
      <c r="BZ32" s="44"/>
      <c r="CA32" s="54"/>
      <c r="CB32" s="69"/>
      <c r="CC32" s="69"/>
      <c r="CD32" s="44"/>
      <c r="CE32" s="26"/>
      <c r="CF32" s="26"/>
      <c r="CG32" s="26"/>
      <c r="CH32" s="44"/>
      <c r="CI32" s="26"/>
      <c r="CJ32" s="26"/>
      <c r="CK32" s="26">
        <v>105000</v>
      </c>
      <c r="CL32" s="44"/>
      <c r="CM32" s="26">
        <f t="shared" si="18"/>
        <v>103645.23999999999</v>
      </c>
      <c r="CN32" s="2">
        <f>9774.18+8871.06</f>
        <v>18645.239999999998</v>
      </c>
      <c r="CO32" s="60">
        <v>85000</v>
      </c>
      <c r="CP32" s="44"/>
      <c r="CQ32" s="67"/>
      <c r="CR32" s="67"/>
      <c r="CS32" s="63"/>
      <c r="CT32" s="44"/>
      <c r="CU32" s="67"/>
      <c r="CV32" s="67"/>
      <c r="CW32" s="63"/>
      <c r="CX32" s="44"/>
      <c r="CY32" s="67"/>
      <c r="CZ32" s="67"/>
      <c r="DA32" s="63"/>
      <c r="DB32" s="44"/>
      <c r="DC32" s="61">
        <f t="shared" si="13"/>
        <v>163280</v>
      </c>
      <c r="DD32" s="64">
        <v>28280</v>
      </c>
      <c r="DE32" s="29">
        <v>135000</v>
      </c>
      <c r="DF32" s="44"/>
      <c r="DG32" s="61">
        <f t="shared" si="14"/>
        <v>146981</v>
      </c>
      <c r="DH32" s="65">
        <v>26981</v>
      </c>
      <c r="DI32" s="63">
        <v>120000</v>
      </c>
      <c r="DJ32" s="44"/>
      <c r="DK32" s="61">
        <f t="shared" si="15"/>
        <v>86512.78</v>
      </c>
      <c r="DL32" s="64">
        <f>7256.39*2</f>
        <v>14512.78</v>
      </c>
      <c r="DM32" s="29">
        <v>72000</v>
      </c>
      <c r="DN32" s="44"/>
      <c r="DO32" s="54">
        <f t="shared" si="19"/>
        <v>208645.24</v>
      </c>
      <c r="DP32" s="54">
        <f t="shared" si="20"/>
        <v>18645.239999999998</v>
      </c>
      <c r="DQ32" s="54">
        <f t="shared" si="20"/>
        <v>190000</v>
      </c>
      <c r="DR32" s="44"/>
      <c r="DS32" s="54">
        <f t="shared" si="16"/>
        <v>396773.78</v>
      </c>
      <c r="DT32" s="54">
        <f t="shared" si="21"/>
        <v>69773.78</v>
      </c>
      <c r="DU32" s="54">
        <f t="shared" si="21"/>
        <v>327000</v>
      </c>
      <c r="DV32" s="44"/>
      <c r="DW32" s="54">
        <f t="shared" si="17"/>
        <v>605419.02</v>
      </c>
      <c r="DX32" s="54">
        <f t="shared" si="22"/>
        <v>88419.01999999999</v>
      </c>
      <c r="DY32" s="54">
        <f t="shared" si="22"/>
        <v>517000</v>
      </c>
      <c r="DZ32" s="44"/>
    </row>
    <row r="33" spans="1:130" x14ac:dyDescent="0.2">
      <c r="A33" s="58">
        <v>2041</v>
      </c>
      <c r="B33" s="44"/>
      <c r="C33" s="26"/>
      <c r="D33" s="26"/>
      <c r="E33" s="26"/>
      <c r="F33" s="44"/>
      <c r="G33" s="26"/>
      <c r="H33" s="26"/>
      <c r="I33" s="26"/>
      <c r="J33" s="44"/>
      <c r="K33" s="26"/>
      <c r="L33" s="26"/>
      <c r="M33" s="26"/>
      <c r="N33" s="44"/>
      <c r="O33" s="26"/>
      <c r="P33" s="26"/>
      <c r="Q33" s="26"/>
      <c r="R33" s="44"/>
      <c r="S33" s="54"/>
      <c r="T33" s="54"/>
      <c r="U33" s="54"/>
      <c r="V33" s="44"/>
      <c r="W33" s="26"/>
      <c r="X33" s="26"/>
      <c r="Y33" s="26"/>
      <c r="Z33" s="44"/>
      <c r="AA33" s="26"/>
      <c r="AB33" s="26"/>
      <c r="AC33" s="26"/>
      <c r="AD33" s="44"/>
      <c r="AE33" s="26"/>
      <c r="AF33" s="26"/>
      <c r="AG33" s="26"/>
      <c r="AH33" s="44"/>
      <c r="AI33" s="67"/>
      <c r="AJ33" s="67"/>
      <c r="AK33" s="67"/>
      <c r="AL33" s="44"/>
      <c r="AM33" s="26"/>
      <c r="AN33" s="26"/>
      <c r="AO33" s="26"/>
      <c r="AP33" s="44"/>
      <c r="AQ33" s="26"/>
      <c r="AR33" s="26"/>
      <c r="AS33" s="26"/>
      <c r="AT33" s="44"/>
      <c r="AU33" s="26"/>
      <c r="AV33" s="26"/>
      <c r="AW33" s="26"/>
      <c r="AX33" s="44"/>
      <c r="AY33" s="26"/>
      <c r="AZ33" s="26"/>
      <c r="BA33" s="26"/>
      <c r="BB33" s="44"/>
      <c r="BC33" s="26"/>
      <c r="BD33" s="26"/>
      <c r="BE33" s="26"/>
      <c r="BF33" s="44"/>
      <c r="BG33" s="26"/>
      <c r="BH33" s="26"/>
      <c r="BI33" s="26"/>
      <c r="BJ33" s="44"/>
      <c r="BK33" s="26"/>
      <c r="BL33" s="26"/>
      <c r="BM33" s="26"/>
      <c r="BN33" s="44"/>
      <c r="BO33" s="26"/>
      <c r="BP33" s="26"/>
      <c r="BQ33" s="26"/>
      <c r="BR33" s="44"/>
      <c r="BS33" s="54"/>
      <c r="BT33" s="69"/>
      <c r="BU33" s="69"/>
      <c r="BV33" s="44"/>
      <c r="BW33" s="54"/>
      <c r="BX33" s="69"/>
      <c r="BY33" s="69"/>
      <c r="BZ33" s="44"/>
      <c r="CA33" s="54"/>
      <c r="CB33" s="69"/>
      <c r="CC33" s="69"/>
      <c r="CD33" s="44"/>
      <c r="CE33" s="26"/>
      <c r="CF33" s="26"/>
      <c r="CG33" s="26"/>
      <c r="CH33" s="44"/>
      <c r="CI33" s="26"/>
      <c r="CJ33" s="26"/>
      <c r="CK33" s="26">
        <v>105000</v>
      </c>
      <c r="CL33" s="44"/>
      <c r="CM33" s="26">
        <f t="shared" si="18"/>
        <v>101838.98999999999</v>
      </c>
      <c r="CN33" s="2">
        <f>8871.06+7967.93</f>
        <v>16838.989999999998</v>
      </c>
      <c r="CO33" s="60">
        <v>85000</v>
      </c>
      <c r="CP33" s="44"/>
      <c r="CQ33" s="67"/>
      <c r="CR33" s="67"/>
      <c r="CS33" s="63"/>
      <c r="CT33" s="44"/>
      <c r="CU33" s="67"/>
      <c r="CV33" s="67"/>
      <c r="CW33" s="63"/>
      <c r="CX33" s="44"/>
      <c r="CY33" s="67"/>
      <c r="CZ33" s="67"/>
      <c r="DA33" s="63"/>
      <c r="DB33" s="44"/>
      <c r="DC33" s="61">
        <f t="shared" si="13"/>
        <v>164843</v>
      </c>
      <c r="DD33" s="64">
        <v>24843</v>
      </c>
      <c r="DE33" s="29">
        <v>140000</v>
      </c>
      <c r="DF33" s="44"/>
      <c r="DG33" s="61">
        <f t="shared" si="14"/>
        <v>143981</v>
      </c>
      <c r="DH33" s="65">
        <v>23981</v>
      </c>
      <c r="DI33" s="63">
        <v>120000</v>
      </c>
      <c r="DJ33" s="44"/>
      <c r="DK33" s="61">
        <f t="shared" si="15"/>
        <v>90072.78</v>
      </c>
      <c r="DL33" s="64">
        <f>6536.39*2</f>
        <v>13072.78</v>
      </c>
      <c r="DM33" s="29">
        <v>77000</v>
      </c>
      <c r="DN33" s="44"/>
      <c r="DO33" s="54">
        <f t="shared" si="19"/>
        <v>206838.99</v>
      </c>
      <c r="DP33" s="54">
        <f t="shared" si="20"/>
        <v>16838.989999999998</v>
      </c>
      <c r="DQ33" s="54">
        <f t="shared" si="20"/>
        <v>190000</v>
      </c>
      <c r="DR33" s="44"/>
      <c r="DS33" s="54">
        <f t="shared" si="16"/>
        <v>398896.78</v>
      </c>
      <c r="DT33" s="54">
        <f t="shared" si="21"/>
        <v>61896.78</v>
      </c>
      <c r="DU33" s="54">
        <f t="shared" si="21"/>
        <v>337000</v>
      </c>
      <c r="DV33" s="44"/>
      <c r="DW33" s="54">
        <f t="shared" si="17"/>
        <v>605735.77</v>
      </c>
      <c r="DX33" s="54">
        <f t="shared" si="22"/>
        <v>78735.76999999999</v>
      </c>
      <c r="DY33" s="54">
        <f t="shared" si="22"/>
        <v>527000</v>
      </c>
      <c r="DZ33" s="44"/>
    </row>
    <row r="34" spans="1:130" x14ac:dyDescent="0.2">
      <c r="A34" s="58">
        <v>2042</v>
      </c>
      <c r="B34" s="44"/>
      <c r="C34" s="26"/>
      <c r="D34" s="26"/>
      <c r="E34" s="26"/>
      <c r="F34" s="44"/>
      <c r="G34" s="26"/>
      <c r="H34" s="26"/>
      <c r="I34" s="26"/>
      <c r="J34" s="44"/>
      <c r="K34" s="26"/>
      <c r="L34" s="26"/>
      <c r="M34" s="26"/>
      <c r="N34" s="44"/>
      <c r="O34" s="26"/>
      <c r="P34" s="26"/>
      <c r="Q34" s="26"/>
      <c r="R34" s="44"/>
      <c r="S34" s="54"/>
      <c r="T34" s="54"/>
      <c r="U34" s="54"/>
      <c r="V34" s="44"/>
      <c r="W34" s="26"/>
      <c r="X34" s="26"/>
      <c r="Y34" s="26"/>
      <c r="Z34" s="44"/>
      <c r="AA34" s="26"/>
      <c r="AB34" s="26"/>
      <c r="AC34" s="26"/>
      <c r="AD34" s="44"/>
      <c r="AE34" s="26"/>
      <c r="AF34" s="26"/>
      <c r="AG34" s="26"/>
      <c r="AH34" s="44"/>
      <c r="AI34" s="67"/>
      <c r="AJ34" s="67"/>
      <c r="AK34" s="67"/>
      <c r="AL34" s="44"/>
      <c r="AM34" s="26"/>
      <c r="AN34" s="26"/>
      <c r="AO34" s="26"/>
      <c r="AP34" s="44"/>
      <c r="AQ34" s="26"/>
      <c r="AR34" s="26"/>
      <c r="AS34" s="26"/>
      <c r="AT34" s="44"/>
      <c r="AU34" s="26"/>
      <c r="AV34" s="26"/>
      <c r="AW34" s="26"/>
      <c r="AX34" s="44"/>
      <c r="AY34" s="26"/>
      <c r="AZ34" s="26"/>
      <c r="BA34" s="26"/>
      <c r="BB34" s="44"/>
      <c r="BC34" s="26"/>
      <c r="BD34" s="26"/>
      <c r="BE34" s="26"/>
      <c r="BF34" s="44"/>
      <c r="BG34" s="26"/>
      <c r="BH34" s="26"/>
      <c r="BI34" s="26"/>
      <c r="BJ34" s="44"/>
      <c r="BK34" s="26"/>
      <c r="BL34" s="26"/>
      <c r="BM34" s="26"/>
      <c r="BN34" s="44"/>
      <c r="BO34" s="26"/>
      <c r="BP34" s="26"/>
      <c r="BQ34" s="26"/>
      <c r="BR34" s="44"/>
      <c r="BS34" s="54"/>
      <c r="BT34" s="69"/>
      <c r="BU34" s="69"/>
      <c r="BV34" s="44"/>
      <c r="BW34" s="54"/>
      <c r="BX34" s="69"/>
      <c r="BY34" s="69"/>
      <c r="BZ34" s="44"/>
      <c r="CA34" s="54"/>
      <c r="CB34" s="69"/>
      <c r="CC34" s="69"/>
      <c r="CD34" s="44"/>
      <c r="CE34" s="26"/>
      <c r="CF34" s="26"/>
      <c r="CG34" s="26"/>
      <c r="CH34" s="44"/>
      <c r="CI34" s="26"/>
      <c r="CJ34" s="26"/>
      <c r="CK34" s="26">
        <v>105000</v>
      </c>
      <c r="CL34" s="44"/>
      <c r="CM34" s="26">
        <f t="shared" si="18"/>
        <v>104979.61</v>
      </c>
      <c r="CN34" s="2">
        <f>7967.93+7011.68</f>
        <v>14979.61</v>
      </c>
      <c r="CO34" s="60">
        <v>90000</v>
      </c>
      <c r="CP34" s="44"/>
      <c r="CQ34" s="67"/>
      <c r="CR34" s="67"/>
      <c r="CS34" s="63"/>
      <c r="CT34" s="44"/>
      <c r="CU34" s="67"/>
      <c r="CV34" s="67"/>
      <c r="CW34" s="63"/>
      <c r="CX34" s="44"/>
      <c r="CY34" s="67"/>
      <c r="CZ34" s="67"/>
      <c r="DA34" s="63"/>
      <c r="DB34" s="44"/>
      <c r="DC34" s="61">
        <f t="shared" si="13"/>
        <v>166280</v>
      </c>
      <c r="DD34" s="64">
        <v>21280</v>
      </c>
      <c r="DE34" s="29">
        <v>145000</v>
      </c>
      <c r="DF34" s="44"/>
      <c r="DG34" s="61">
        <f t="shared" si="14"/>
        <v>140981</v>
      </c>
      <c r="DH34" s="65">
        <v>20981</v>
      </c>
      <c r="DI34" s="63">
        <v>120000</v>
      </c>
      <c r="DJ34" s="44"/>
      <c r="DK34" s="61">
        <f t="shared" si="15"/>
        <v>88532.78</v>
      </c>
      <c r="DL34" s="64">
        <f>5766.39*2</f>
        <v>11532.78</v>
      </c>
      <c r="DM34" s="29">
        <v>77000</v>
      </c>
      <c r="DN34" s="44"/>
      <c r="DO34" s="54">
        <f t="shared" si="19"/>
        <v>209979.61</v>
      </c>
      <c r="DP34" s="54">
        <f t="shared" si="20"/>
        <v>14979.61</v>
      </c>
      <c r="DQ34" s="54">
        <f t="shared" si="20"/>
        <v>195000</v>
      </c>
      <c r="DR34" s="44"/>
      <c r="DS34" s="54">
        <f t="shared" si="16"/>
        <v>395793.78</v>
      </c>
      <c r="DT34" s="54">
        <f t="shared" si="21"/>
        <v>53793.78</v>
      </c>
      <c r="DU34" s="54">
        <f t="shared" si="21"/>
        <v>342000</v>
      </c>
      <c r="DV34" s="44"/>
      <c r="DW34" s="54">
        <f t="shared" si="17"/>
        <v>605773.39</v>
      </c>
      <c r="DX34" s="54">
        <f t="shared" si="22"/>
        <v>68773.39</v>
      </c>
      <c r="DY34" s="54">
        <f t="shared" si="22"/>
        <v>537000</v>
      </c>
      <c r="DZ34" s="44"/>
    </row>
    <row r="35" spans="1:130" x14ac:dyDescent="0.2">
      <c r="A35" s="58">
        <v>2043</v>
      </c>
      <c r="B35" s="44"/>
      <c r="C35" s="26"/>
      <c r="D35" s="26"/>
      <c r="E35" s="26"/>
      <c r="F35" s="44"/>
      <c r="G35" s="26"/>
      <c r="H35" s="26"/>
      <c r="I35" s="26"/>
      <c r="J35" s="44"/>
      <c r="K35" s="26"/>
      <c r="L35" s="26"/>
      <c r="M35" s="26"/>
      <c r="N35" s="44"/>
      <c r="O35" s="26"/>
      <c r="P35" s="26"/>
      <c r="Q35" s="26"/>
      <c r="R35" s="44"/>
      <c r="S35" s="54"/>
      <c r="T35" s="54"/>
      <c r="U35" s="54"/>
      <c r="V35" s="44"/>
      <c r="W35" s="26"/>
      <c r="X35" s="26"/>
      <c r="Y35" s="26"/>
      <c r="Z35" s="44"/>
      <c r="AA35" s="26"/>
      <c r="AB35" s="26"/>
      <c r="AC35" s="26"/>
      <c r="AD35" s="44"/>
      <c r="AE35" s="26"/>
      <c r="AF35" s="26"/>
      <c r="AG35" s="26"/>
      <c r="AH35" s="44"/>
      <c r="AI35" s="67"/>
      <c r="AJ35" s="67"/>
      <c r="AK35" s="67"/>
      <c r="AL35" s="44"/>
      <c r="AM35" s="26"/>
      <c r="AN35" s="26"/>
      <c r="AO35" s="26"/>
      <c r="AP35" s="44"/>
      <c r="AQ35" s="26"/>
      <c r="AR35" s="26"/>
      <c r="AS35" s="26"/>
      <c r="AT35" s="44"/>
      <c r="AU35" s="26"/>
      <c r="AV35" s="26"/>
      <c r="AW35" s="26"/>
      <c r="AX35" s="44"/>
      <c r="AY35" s="26"/>
      <c r="AZ35" s="26"/>
      <c r="BA35" s="26"/>
      <c r="BB35" s="44"/>
      <c r="BC35" s="26"/>
      <c r="BD35" s="26"/>
      <c r="BE35" s="26"/>
      <c r="BF35" s="44"/>
      <c r="BG35" s="26"/>
      <c r="BH35" s="26"/>
      <c r="BI35" s="26"/>
      <c r="BJ35" s="44"/>
      <c r="BK35" s="26"/>
      <c r="BL35" s="26"/>
      <c r="BM35" s="26"/>
      <c r="BN35" s="44"/>
      <c r="BO35" s="26"/>
      <c r="BP35" s="26"/>
      <c r="BQ35" s="26"/>
      <c r="BR35" s="44"/>
      <c r="BS35" s="54"/>
      <c r="BT35" s="69"/>
      <c r="BU35" s="69"/>
      <c r="BV35" s="44"/>
      <c r="BW35" s="54"/>
      <c r="BX35" s="69"/>
      <c r="BY35" s="69"/>
      <c r="BZ35" s="44"/>
      <c r="CA35" s="54"/>
      <c r="CB35" s="69"/>
      <c r="CC35" s="69"/>
      <c r="CD35" s="44"/>
      <c r="CE35" s="26"/>
      <c r="CF35" s="26"/>
      <c r="CG35" s="26"/>
      <c r="CH35" s="44"/>
      <c r="CI35" s="26"/>
      <c r="CJ35" s="26"/>
      <c r="CK35" s="26">
        <v>110000</v>
      </c>
      <c r="CL35" s="44"/>
      <c r="CM35" s="26">
        <f t="shared" si="18"/>
        <v>103067.11</v>
      </c>
      <c r="CN35" s="2">
        <f>7011.68+6055.43</f>
        <v>13067.11</v>
      </c>
      <c r="CO35" s="60">
        <v>90000</v>
      </c>
      <c r="CP35" s="44"/>
      <c r="CQ35" s="67"/>
      <c r="CR35" s="67"/>
      <c r="CS35" s="63"/>
      <c r="CT35" s="44"/>
      <c r="CU35" s="67"/>
      <c r="CV35" s="67"/>
      <c r="CW35" s="63"/>
      <c r="CX35" s="44"/>
      <c r="CY35" s="67"/>
      <c r="CZ35" s="67"/>
      <c r="DA35" s="63"/>
      <c r="DB35" s="44"/>
      <c r="DC35" s="61">
        <f t="shared" si="13"/>
        <v>167593</v>
      </c>
      <c r="DD35" s="64">
        <v>17593</v>
      </c>
      <c r="DE35" s="29">
        <v>150000</v>
      </c>
      <c r="DF35" s="44"/>
      <c r="DG35" s="61">
        <f t="shared" si="14"/>
        <v>142919</v>
      </c>
      <c r="DH35" s="65">
        <v>17919</v>
      </c>
      <c r="DI35" s="63">
        <v>125000</v>
      </c>
      <c r="DJ35" s="44"/>
      <c r="DK35" s="61">
        <f t="shared" si="15"/>
        <v>86992.78</v>
      </c>
      <c r="DL35" s="64">
        <f>4996.39*2</f>
        <v>9992.7800000000007</v>
      </c>
      <c r="DM35" s="29">
        <v>77000</v>
      </c>
      <c r="DN35" s="44"/>
      <c r="DO35" s="54">
        <f t="shared" si="19"/>
        <v>213067.11</v>
      </c>
      <c r="DP35" s="54">
        <f t="shared" si="20"/>
        <v>13067.11</v>
      </c>
      <c r="DQ35" s="54">
        <f t="shared" si="20"/>
        <v>200000</v>
      </c>
      <c r="DR35" s="44"/>
      <c r="DS35" s="54">
        <f t="shared" si="16"/>
        <v>397504.78</v>
      </c>
      <c r="DT35" s="54">
        <f t="shared" si="21"/>
        <v>45504.78</v>
      </c>
      <c r="DU35" s="54">
        <f t="shared" si="21"/>
        <v>352000</v>
      </c>
      <c r="DV35" s="44"/>
      <c r="DW35" s="54">
        <f t="shared" si="17"/>
        <v>610571.89</v>
      </c>
      <c r="DX35" s="54">
        <f t="shared" si="22"/>
        <v>58571.89</v>
      </c>
      <c r="DY35" s="54">
        <f t="shared" si="22"/>
        <v>552000</v>
      </c>
      <c r="DZ35" s="44"/>
    </row>
    <row r="36" spans="1:130" x14ac:dyDescent="0.2">
      <c r="A36" s="58">
        <v>2044</v>
      </c>
      <c r="B36" s="44"/>
      <c r="C36" s="26"/>
      <c r="D36" s="26"/>
      <c r="E36" s="26"/>
      <c r="F36" s="44"/>
      <c r="G36" s="26"/>
      <c r="H36" s="26"/>
      <c r="I36" s="26"/>
      <c r="J36" s="44"/>
      <c r="K36" s="26"/>
      <c r="L36" s="26"/>
      <c r="M36" s="26"/>
      <c r="N36" s="44"/>
      <c r="O36" s="26"/>
      <c r="P36" s="26"/>
      <c r="Q36" s="26"/>
      <c r="R36" s="44"/>
      <c r="S36" s="54"/>
      <c r="T36" s="54"/>
      <c r="U36" s="54"/>
      <c r="V36" s="44"/>
      <c r="W36" s="26"/>
      <c r="X36" s="26"/>
      <c r="Y36" s="26"/>
      <c r="Z36" s="44"/>
      <c r="AA36" s="26"/>
      <c r="AB36" s="26"/>
      <c r="AC36" s="26"/>
      <c r="AD36" s="44"/>
      <c r="AE36" s="26"/>
      <c r="AF36" s="26"/>
      <c r="AG36" s="26"/>
      <c r="AH36" s="44"/>
      <c r="AI36" s="67"/>
      <c r="AJ36" s="67"/>
      <c r="AK36" s="67"/>
      <c r="AL36" s="44"/>
      <c r="AM36" s="26"/>
      <c r="AN36" s="26"/>
      <c r="AO36" s="26"/>
      <c r="AP36" s="44"/>
      <c r="AQ36" s="26"/>
      <c r="AR36" s="26"/>
      <c r="AS36" s="26"/>
      <c r="AT36" s="44"/>
      <c r="AU36" s="26"/>
      <c r="AV36" s="26"/>
      <c r="AW36" s="26"/>
      <c r="AX36" s="44"/>
      <c r="AY36" s="26"/>
      <c r="AZ36" s="26"/>
      <c r="BA36" s="26"/>
      <c r="BB36" s="44"/>
      <c r="BC36" s="26"/>
      <c r="BD36" s="26"/>
      <c r="BE36" s="26"/>
      <c r="BF36" s="44"/>
      <c r="BG36" s="26"/>
      <c r="BH36" s="26"/>
      <c r="BI36" s="26"/>
      <c r="BJ36" s="44"/>
      <c r="BK36" s="26"/>
      <c r="BL36" s="26"/>
      <c r="BM36" s="26"/>
      <c r="BN36" s="44"/>
      <c r="BO36" s="26"/>
      <c r="BP36" s="26"/>
      <c r="BQ36" s="26"/>
      <c r="BR36" s="44"/>
      <c r="BS36" s="54"/>
      <c r="BT36" s="69"/>
      <c r="BU36" s="69"/>
      <c r="BV36" s="44"/>
      <c r="BW36" s="54"/>
      <c r="BX36" s="69"/>
      <c r="BY36" s="69"/>
      <c r="BZ36" s="44"/>
      <c r="CA36" s="54"/>
      <c r="CB36" s="69"/>
      <c r="CC36" s="69"/>
      <c r="CD36" s="44"/>
      <c r="CE36" s="26"/>
      <c r="CF36" s="26"/>
      <c r="CG36" s="26"/>
      <c r="CH36" s="44"/>
      <c r="CI36" s="26"/>
      <c r="CJ36" s="26"/>
      <c r="CK36" s="26">
        <v>110000</v>
      </c>
      <c r="CL36" s="44"/>
      <c r="CM36" s="26">
        <f t="shared" si="18"/>
        <v>101154.61</v>
      </c>
      <c r="CN36" s="2">
        <f>6055.43+5099.18</f>
        <v>11154.61</v>
      </c>
      <c r="CO36" s="60">
        <v>90000</v>
      </c>
      <c r="CP36" s="44"/>
      <c r="CQ36" s="67"/>
      <c r="CR36" s="67"/>
      <c r="CS36" s="63"/>
      <c r="CT36" s="44"/>
      <c r="CU36" s="67"/>
      <c r="CV36" s="67"/>
      <c r="CW36" s="63"/>
      <c r="CX36" s="44"/>
      <c r="CY36" s="67"/>
      <c r="CZ36" s="67"/>
      <c r="DA36" s="63"/>
      <c r="DB36" s="44"/>
      <c r="DC36" s="61">
        <f t="shared" si="13"/>
        <v>163843</v>
      </c>
      <c r="DD36" s="64">
        <v>13843</v>
      </c>
      <c r="DE36" s="29">
        <v>150000</v>
      </c>
      <c r="DF36" s="44"/>
      <c r="DG36" s="61">
        <f t="shared" si="14"/>
        <v>139794</v>
      </c>
      <c r="DH36" s="65">
        <v>14794</v>
      </c>
      <c r="DI36" s="63">
        <v>125000</v>
      </c>
      <c r="DJ36" s="44"/>
      <c r="DK36" s="61">
        <f t="shared" si="15"/>
        <v>90452.78</v>
      </c>
      <c r="DL36" s="64">
        <f>4226.39*2</f>
        <v>8452.7800000000007</v>
      </c>
      <c r="DM36" s="29">
        <v>82000</v>
      </c>
      <c r="DN36" s="44"/>
      <c r="DO36" s="54">
        <f t="shared" si="19"/>
        <v>211154.61</v>
      </c>
      <c r="DP36" s="54">
        <f t="shared" si="20"/>
        <v>11154.61</v>
      </c>
      <c r="DQ36" s="54">
        <f t="shared" si="20"/>
        <v>200000</v>
      </c>
      <c r="DR36" s="44"/>
      <c r="DS36" s="54">
        <f t="shared" si="16"/>
        <v>394089.78</v>
      </c>
      <c r="DT36" s="54">
        <f t="shared" si="21"/>
        <v>37089.78</v>
      </c>
      <c r="DU36" s="54">
        <f t="shared" si="21"/>
        <v>357000</v>
      </c>
      <c r="DV36" s="44"/>
      <c r="DW36" s="54">
        <f t="shared" si="17"/>
        <v>605244.39</v>
      </c>
      <c r="DX36" s="54">
        <f t="shared" si="22"/>
        <v>48244.39</v>
      </c>
      <c r="DY36" s="54">
        <f t="shared" si="22"/>
        <v>557000</v>
      </c>
      <c r="DZ36" s="44"/>
    </row>
    <row r="37" spans="1:130" x14ac:dyDescent="0.2">
      <c r="A37" s="58">
        <v>2045</v>
      </c>
      <c r="B37" s="44"/>
      <c r="C37" s="26"/>
      <c r="D37" s="26"/>
      <c r="E37" s="26"/>
      <c r="F37" s="44"/>
      <c r="G37" s="26"/>
      <c r="H37" s="26"/>
      <c r="I37" s="26"/>
      <c r="J37" s="44"/>
      <c r="K37" s="26"/>
      <c r="L37" s="26"/>
      <c r="M37" s="26"/>
      <c r="N37" s="44"/>
      <c r="O37" s="26"/>
      <c r="P37" s="26"/>
      <c r="Q37" s="26"/>
      <c r="R37" s="44"/>
      <c r="S37" s="54"/>
      <c r="T37" s="54"/>
      <c r="U37" s="54"/>
      <c r="V37" s="44"/>
      <c r="W37" s="26"/>
      <c r="X37" s="26"/>
      <c r="Y37" s="26"/>
      <c r="Z37" s="44"/>
      <c r="AA37" s="26"/>
      <c r="AB37" s="26"/>
      <c r="AC37" s="26"/>
      <c r="AD37" s="44"/>
      <c r="AE37" s="26"/>
      <c r="AF37" s="26"/>
      <c r="AG37" s="26"/>
      <c r="AH37" s="44"/>
      <c r="AI37" s="67"/>
      <c r="AJ37" s="67"/>
      <c r="AK37" s="67"/>
      <c r="AL37" s="44"/>
      <c r="AM37" s="26"/>
      <c r="AN37" s="26"/>
      <c r="AO37" s="26"/>
      <c r="AP37" s="44"/>
      <c r="AQ37" s="26"/>
      <c r="AR37" s="26"/>
      <c r="AS37" s="26"/>
      <c r="AT37" s="44"/>
      <c r="AU37" s="26"/>
      <c r="AV37" s="26"/>
      <c r="AW37" s="26"/>
      <c r="AX37" s="44"/>
      <c r="AY37" s="26"/>
      <c r="AZ37" s="26"/>
      <c r="BA37" s="26"/>
      <c r="BB37" s="44"/>
      <c r="BC37" s="26"/>
      <c r="BD37" s="26"/>
      <c r="BE37" s="26"/>
      <c r="BF37" s="44"/>
      <c r="BG37" s="26"/>
      <c r="BH37" s="26"/>
      <c r="BI37" s="26"/>
      <c r="BJ37" s="44"/>
      <c r="BK37" s="26"/>
      <c r="BL37" s="26"/>
      <c r="BM37" s="26"/>
      <c r="BN37" s="44"/>
      <c r="BO37" s="26"/>
      <c r="BP37" s="26"/>
      <c r="BQ37" s="26"/>
      <c r="BR37" s="44"/>
      <c r="BS37" s="54"/>
      <c r="BT37" s="69"/>
      <c r="BU37" s="69"/>
      <c r="BV37" s="44"/>
      <c r="BW37" s="54"/>
      <c r="BX37" s="69"/>
      <c r="BY37" s="69"/>
      <c r="BZ37" s="44"/>
      <c r="CA37" s="54"/>
      <c r="CB37" s="69"/>
      <c r="CC37" s="69"/>
      <c r="CD37" s="44"/>
      <c r="CE37" s="26"/>
      <c r="CF37" s="26"/>
      <c r="CG37" s="26"/>
      <c r="CH37" s="44"/>
      <c r="CI37" s="26"/>
      <c r="CJ37" s="26"/>
      <c r="CK37" s="26">
        <v>115000</v>
      </c>
      <c r="CL37" s="44"/>
      <c r="CM37" s="26">
        <f t="shared" si="18"/>
        <v>104188.99</v>
      </c>
      <c r="CN37" s="2">
        <f>5099.18+4089.81</f>
        <v>9188.99</v>
      </c>
      <c r="CO37" s="60">
        <v>95000</v>
      </c>
      <c r="CP37" s="44"/>
      <c r="CQ37" s="67"/>
      <c r="CR37" s="67"/>
      <c r="CS37" s="63"/>
      <c r="CT37" s="44"/>
      <c r="CU37" s="67"/>
      <c r="CV37" s="67"/>
      <c r="CW37" s="63"/>
      <c r="CX37" s="44"/>
      <c r="CY37" s="67"/>
      <c r="CZ37" s="67"/>
      <c r="DA37" s="63"/>
      <c r="DB37" s="44"/>
      <c r="DC37" s="61">
        <f t="shared" si="13"/>
        <v>165030</v>
      </c>
      <c r="DD37" s="64">
        <v>10030</v>
      </c>
      <c r="DE37" s="29">
        <v>155000</v>
      </c>
      <c r="DF37" s="44"/>
      <c r="DG37" s="61">
        <f t="shared" si="14"/>
        <v>141606</v>
      </c>
      <c r="DH37" s="65">
        <v>11606</v>
      </c>
      <c r="DI37" s="63">
        <v>130000</v>
      </c>
      <c r="DJ37" s="44"/>
      <c r="DK37" s="61">
        <f t="shared" si="15"/>
        <v>88812.78</v>
      </c>
      <c r="DL37" s="64">
        <f>3406.39*2</f>
        <v>6812.78</v>
      </c>
      <c r="DM37" s="29">
        <v>82000</v>
      </c>
      <c r="DN37" s="44"/>
      <c r="DO37" s="54">
        <f t="shared" si="19"/>
        <v>219188.99</v>
      </c>
      <c r="DP37" s="54">
        <f t="shared" si="20"/>
        <v>9188.99</v>
      </c>
      <c r="DQ37" s="54">
        <f t="shared" si="20"/>
        <v>210000</v>
      </c>
      <c r="DR37" s="44"/>
      <c r="DS37" s="54">
        <f t="shared" si="16"/>
        <v>395448.78</v>
      </c>
      <c r="DT37" s="54">
        <f t="shared" si="21"/>
        <v>28448.78</v>
      </c>
      <c r="DU37" s="54">
        <f t="shared" si="21"/>
        <v>367000</v>
      </c>
      <c r="DV37" s="44"/>
      <c r="DW37" s="54">
        <f t="shared" si="17"/>
        <v>614637.77</v>
      </c>
      <c r="DX37" s="54">
        <f t="shared" si="22"/>
        <v>37637.769999999997</v>
      </c>
      <c r="DY37" s="54">
        <f t="shared" si="22"/>
        <v>577000</v>
      </c>
      <c r="DZ37" s="44"/>
    </row>
    <row r="38" spans="1:130" x14ac:dyDescent="0.2">
      <c r="A38" s="58">
        <v>2046</v>
      </c>
      <c r="B38" s="44"/>
      <c r="C38" s="26"/>
      <c r="D38" s="26"/>
      <c r="E38" s="26"/>
      <c r="F38" s="44"/>
      <c r="G38" s="26"/>
      <c r="H38" s="26"/>
      <c r="I38" s="26"/>
      <c r="J38" s="44"/>
      <c r="K38" s="26"/>
      <c r="L38" s="26"/>
      <c r="M38" s="26"/>
      <c r="N38" s="44"/>
      <c r="O38" s="26"/>
      <c r="P38" s="26"/>
      <c r="Q38" s="26"/>
      <c r="R38" s="44"/>
      <c r="S38" s="54"/>
      <c r="T38" s="54"/>
      <c r="U38" s="54"/>
      <c r="V38" s="44"/>
      <c r="W38" s="26"/>
      <c r="X38" s="26"/>
      <c r="Y38" s="26"/>
      <c r="Z38" s="44"/>
      <c r="AA38" s="26"/>
      <c r="AB38" s="26"/>
      <c r="AC38" s="26"/>
      <c r="AD38" s="44"/>
      <c r="AE38" s="26"/>
      <c r="AF38" s="26"/>
      <c r="AG38" s="26"/>
      <c r="AH38" s="44"/>
      <c r="AI38" s="67"/>
      <c r="AJ38" s="67"/>
      <c r="AK38" s="67"/>
      <c r="AL38" s="44"/>
      <c r="AM38" s="26"/>
      <c r="AN38" s="26"/>
      <c r="AO38" s="26"/>
      <c r="AP38" s="44"/>
      <c r="AQ38" s="26"/>
      <c r="AR38" s="26"/>
      <c r="AS38" s="26"/>
      <c r="AT38" s="44"/>
      <c r="AU38" s="26"/>
      <c r="AV38" s="26"/>
      <c r="AW38" s="26"/>
      <c r="AX38" s="44"/>
      <c r="AY38" s="26"/>
      <c r="AZ38" s="26"/>
      <c r="BA38" s="26"/>
      <c r="BB38" s="44"/>
      <c r="BC38" s="26"/>
      <c r="BD38" s="26"/>
      <c r="BE38" s="26"/>
      <c r="BF38" s="44"/>
      <c r="BG38" s="26"/>
      <c r="BH38" s="26"/>
      <c r="BI38" s="26"/>
      <c r="BJ38" s="44"/>
      <c r="BK38" s="26"/>
      <c r="BL38" s="26"/>
      <c r="BM38" s="26"/>
      <c r="BN38" s="44"/>
      <c r="BO38" s="26"/>
      <c r="BP38" s="26"/>
      <c r="BQ38" s="26"/>
      <c r="BR38" s="44"/>
      <c r="BS38" s="54"/>
      <c r="BT38" s="69"/>
      <c r="BU38" s="69"/>
      <c r="BV38" s="44"/>
      <c r="BW38" s="54"/>
      <c r="BX38" s="69"/>
      <c r="BY38" s="69"/>
      <c r="BZ38" s="44"/>
      <c r="CA38" s="54"/>
      <c r="CB38" s="69"/>
      <c r="CC38" s="69"/>
      <c r="CD38" s="44"/>
      <c r="CE38" s="26"/>
      <c r="CF38" s="26"/>
      <c r="CG38" s="26"/>
      <c r="CH38" s="44"/>
      <c r="CI38" s="26"/>
      <c r="CJ38" s="26"/>
      <c r="CK38" s="26">
        <v>115000</v>
      </c>
      <c r="CL38" s="44"/>
      <c r="CM38" s="26">
        <f t="shared" si="18"/>
        <v>102170.24000000001</v>
      </c>
      <c r="CN38" s="2">
        <f>4089.81+3080.43</f>
        <v>7170.24</v>
      </c>
      <c r="CO38" s="60">
        <v>95000</v>
      </c>
      <c r="CP38" s="44"/>
      <c r="CQ38" s="67"/>
      <c r="CR38" s="67"/>
      <c r="CS38" s="63"/>
      <c r="CT38" s="44"/>
      <c r="CU38" s="67"/>
      <c r="CV38" s="67"/>
      <c r="CW38" s="63"/>
      <c r="CX38" s="44"/>
      <c r="CY38" s="67"/>
      <c r="CZ38" s="67"/>
      <c r="DA38" s="63"/>
      <c r="DB38" s="44"/>
      <c r="DC38" s="61">
        <f t="shared" si="13"/>
        <v>166093</v>
      </c>
      <c r="DD38" s="64">
        <v>6093</v>
      </c>
      <c r="DE38" s="29">
        <v>160000</v>
      </c>
      <c r="DF38" s="44"/>
      <c r="DG38" s="61">
        <f t="shared" si="14"/>
        <v>138356</v>
      </c>
      <c r="DH38" s="65">
        <v>8356</v>
      </c>
      <c r="DI38" s="63">
        <v>130000</v>
      </c>
      <c r="DJ38" s="44"/>
      <c r="DK38" s="61">
        <f t="shared" si="15"/>
        <v>87172.78</v>
      </c>
      <c r="DL38" s="64">
        <f>2586.39*2</f>
        <v>5172.78</v>
      </c>
      <c r="DM38" s="29">
        <v>82000</v>
      </c>
      <c r="DN38" s="44"/>
      <c r="DO38" s="54">
        <f t="shared" si="19"/>
        <v>217170.24</v>
      </c>
      <c r="DP38" s="54">
        <f t="shared" si="20"/>
        <v>7170.24</v>
      </c>
      <c r="DQ38" s="54">
        <f t="shared" si="20"/>
        <v>210000</v>
      </c>
      <c r="DR38" s="44"/>
      <c r="DS38" s="54">
        <f t="shared" si="16"/>
        <v>391621.78</v>
      </c>
      <c r="DT38" s="54">
        <f t="shared" si="21"/>
        <v>19621.78</v>
      </c>
      <c r="DU38" s="54">
        <f t="shared" si="21"/>
        <v>372000</v>
      </c>
      <c r="DV38" s="44"/>
      <c r="DW38" s="54">
        <f t="shared" si="17"/>
        <v>608792.02</v>
      </c>
      <c r="DX38" s="54">
        <f t="shared" si="22"/>
        <v>26792.019999999997</v>
      </c>
      <c r="DY38" s="54">
        <f t="shared" si="22"/>
        <v>582000</v>
      </c>
      <c r="DZ38" s="44"/>
    </row>
    <row r="39" spans="1:130" x14ac:dyDescent="0.2">
      <c r="A39" s="58">
        <v>2047</v>
      </c>
      <c r="B39" s="44"/>
      <c r="C39" s="26"/>
      <c r="D39" s="26"/>
      <c r="E39" s="26"/>
      <c r="F39" s="44"/>
      <c r="G39" s="26"/>
      <c r="H39" s="26"/>
      <c r="I39" s="26"/>
      <c r="J39" s="44"/>
      <c r="K39" s="26"/>
      <c r="L39" s="26"/>
      <c r="M39" s="26"/>
      <c r="N39" s="44"/>
      <c r="O39" s="26"/>
      <c r="P39" s="26"/>
      <c r="Q39" s="26"/>
      <c r="R39" s="44"/>
      <c r="S39" s="54"/>
      <c r="T39" s="54"/>
      <c r="U39" s="54"/>
      <c r="V39" s="44"/>
      <c r="W39" s="26"/>
      <c r="X39" s="26"/>
      <c r="Y39" s="26"/>
      <c r="Z39" s="44"/>
      <c r="AA39" s="26"/>
      <c r="AB39" s="26"/>
      <c r="AC39" s="26"/>
      <c r="AD39" s="44"/>
      <c r="AE39" s="26"/>
      <c r="AF39" s="26"/>
      <c r="AG39" s="26"/>
      <c r="AH39" s="44"/>
      <c r="AI39" s="67"/>
      <c r="AJ39" s="67"/>
      <c r="AK39" s="67"/>
      <c r="AL39" s="44"/>
      <c r="AM39" s="26"/>
      <c r="AN39" s="26"/>
      <c r="AO39" s="26"/>
      <c r="AP39" s="44"/>
      <c r="AQ39" s="26"/>
      <c r="AR39" s="26"/>
      <c r="AS39" s="26"/>
      <c r="AT39" s="44"/>
      <c r="AU39" s="26"/>
      <c r="AV39" s="26"/>
      <c r="AW39" s="26"/>
      <c r="AX39" s="44"/>
      <c r="AY39" s="26"/>
      <c r="AZ39" s="26"/>
      <c r="BA39" s="26"/>
      <c r="BB39" s="44"/>
      <c r="BC39" s="26"/>
      <c r="BD39" s="26"/>
      <c r="BE39" s="26"/>
      <c r="BF39" s="44"/>
      <c r="BG39" s="26"/>
      <c r="BH39" s="26"/>
      <c r="BI39" s="26"/>
      <c r="BJ39" s="44"/>
      <c r="BK39" s="26"/>
      <c r="BL39" s="26"/>
      <c r="BM39" s="26"/>
      <c r="BN39" s="44"/>
      <c r="BO39" s="26"/>
      <c r="BP39" s="26"/>
      <c r="BQ39" s="26"/>
      <c r="BR39" s="44"/>
      <c r="BS39" s="54"/>
      <c r="BT39" s="69"/>
      <c r="BU39" s="69"/>
      <c r="BV39" s="44"/>
      <c r="BW39" s="54"/>
      <c r="BX39" s="69"/>
      <c r="BY39" s="69"/>
      <c r="BZ39" s="44"/>
      <c r="CA39" s="54"/>
      <c r="CB39" s="69"/>
      <c r="CC39" s="69"/>
      <c r="CD39" s="44"/>
      <c r="CE39" s="26"/>
      <c r="CF39" s="26"/>
      <c r="CG39" s="26"/>
      <c r="CH39" s="44"/>
      <c r="CI39" s="26"/>
      <c r="CJ39" s="26"/>
      <c r="CK39" s="26">
        <v>120000</v>
      </c>
      <c r="CL39" s="44"/>
      <c r="CM39" s="26">
        <f t="shared" si="18"/>
        <v>105098.36</v>
      </c>
      <c r="CN39" s="2">
        <f>3080.43+2017.93</f>
        <v>5098.3599999999997</v>
      </c>
      <c r="CO39" s="60">
        <v>100000</v>
      </c>
      <c r="CP39" s="44"/>
      <c r="CQ39" s="67"/>
      <c r="CR39" s="67"/>
      <c r="CS39" s="63"/>
      <c r="CT39" s="44"/>
      <c r="CU39" s="67"/>
      <c r="CV39" s="67"/>
      <c r="CW39" s="63"/>
      <c r="CX39" s="44"/>
      <c r="CY39" s="67"/>
      <c r="CZ39" s="67"/>
      <c r="DA39" s="63"/>
      <c r="DB39" s="44"/>
      <c r="DC39" s="61">
        <f t="shared" si="13"/>
        <v>165757</v>
      </c>
      <c r="DD39" s="64">
        <v>2046</v>
      </c>
      <c r="DE39" s="29">
        <v>163711</v>
      </c>
      <c r="DF39" s="44"/>
      <c r="DG39" s="61">
        <f t="shared" si="14"/>
        <v>140044</v>
      </c>
      <c r="DH39" s="65">
        <v>5044</v>
      </c>
      <c r="DI39" s="63">
        <v>135000</v>
      </c>
      <c r="DJ39" s="44"/>
      <c r="DK39" s="61">
        <f t="shared" si="15"/>
        <v>90532.78</v>
      </c>
      <c r="DL39" s="64">
        <f>1766.39*2</f>
        <v>3532.78</v>
      </c>
      <c r="DM39" s="29">
        <v>87000</v>
      </c>
      <c r="DN39" s="44"/>
      <c r="DO39" s="54">
        <f t="shared" si="19"/>
        <v>225098.36</v>
      </c>
      <c r="DP39" s="54">
        <f t="shared" si="20"/>
        <v>5098.3599999999997</v>
      </c>
      <c r="DQ39" s="54">
        <f t="shared" si="20"/>
        <v>220000</v>
      </c>
      <c r="DR39" s="44"/>
      <c r="DS39" s="54">
        <f t="shared" si="16"/>
        <v>396333.78</v>
      </c>
      <c r="DT39" s="54">
        <f t="shared" si="21"/>
        <v>10622.78</v>
      </c>
      <c r="DU39" s="54">
        <f t="shared" si="21"/>
        <v>385711</v>
      </c>
      <c r="DV39" s="44"/>
      <c r="DW39" s="54">
        <f t="shared" si="17"/>
        <v>621432.14</v>
      </c>
      <c r="DX39" s="54">
        <f t="shared" si="22"/>
        <v>15721.14</v>
      </c>
      <c r="DY39" s="54">
        <f t="shared" si="22"/>
        <v>605711</v>
      </c>
      <c r="DZ39" s="44"/>
    </row>
    <row r="40" spans="1:130" x14ac:dyDescent="0.2">
      <c r="A40" s="58">
        <v>2048</v>
      </c>
      <c r="B40" s="44"/>
      <c r="C40" s="26"/>
      <c r="D40" s="26"/>
      <c r="E40" s="26"/>
      <c r="F40" s="44"/>
      <c r="G40" s="26"/>
      <c r="H40" s="26"/>
      <c r="I40" s="26"/>
      <c r="J40" s="44"/>
      <c r="K40" s="26"/>
      <c r="L40" s="26"/>
      <c r="M40" s="26"/>
      <c r="N40" s="44"/>
      <c r="O40" s="26"/>
      <c r="P40" s="26"/>
      <c r="Q40" s="26"/>
      <c r="R40" s="44"/>
      <c r="S40" s="54"/>
      <c r="T40" s="54"/>
      <c r="U40" s="54"/>
      <c r="V40" s="44"/>
      <c r="W40" s="26"/>
      <c r="X40" s="26"/>
      <c r="Y40" s="26"/>
      <c r="Z40" s="44"/>
      <c r="AA40" s="26"/>
      <c r="AB40" s="26"/>
      <c r="AC40" s="26"/>
      <c r="AD40" s="44"/>
      <c r="AE40" s="26"/>
      <c r="AF40" s="26"/>
      <c r="AG40" s="26"/>
      <c r="AH40" s="44"/>
      <c r="AI40" s="67"/>
      <c r="AJ40" s="67"/>
      <c r="AK40" s="67"/>
      <c r="AL40" s="44"/>
      <c r="AM40" s="26"/>
      <c r="AN40" s="26"/>
      <c r="AO40" s="26"/>
      <c r="AP40" s="44"/>
      <c r="AQ40" s="26"/>
      <c r="AR40" s="26"/>
      <c r="AS40" s="26"/>
      <c r="AT40" s="44"/>
      <c r="AU40" s="26"/>
      <c r="AV40" s="26"/>
      <c r="AW40" s="26"/>
      <c r="AX40" s="44"/>
      <c r="AY40" s="26"/>
      <c r="AZ40" s="26"/>
      <c r="BA40" s="26"/>
      <c r="BB40" s="44"/>
      <c r="BC40" s="26"/>
      <c r="BD40" s="26"/>
      <c r="BE40" s="26"/>
      <c r="BF40" s="44"/>
      <c r="BG40" s="26"/>
      <c r="BH40" s="26"/>
      <c r="BI40" s="26"/>
      <c r="BJ40" s="44"/>
      <c r="BK40" s="26"/>
      <c r="BL40" s="26"/>
      <c r="BM40" s="26"/>
      <c r="BN40" s="44"/>
      <c r="BO40" s="26"/>
      <c r="BP40" s="26"/>
      <c r="BQ40" s="26"/>
      <c r="BR40" s="44"/>
      <c r="BS40" s="54"/>
      <c r="BT40" s="69"/>
      <c r="BU40" s="69"/>
      <c r="BV40" s="44"/>
      <c r="BW40" s="54"/>
      <c r="BX40" s="69"/>
      <c r="BY40" s="69"/>
      <c r="BZ40" s="44"/>
      <c r="CA40" s="54"/>
      <c r="CB40" s="69"/>
      <c r="CC40" s="69"/>
      <c r="CD40" s="44"/>
      <c r="CE40" s="26"/>
      <c r="CF40" s="26"/>
      <c r="CG40" s="26"/>
      <c r="CH40" s="44"/>
      <c r="CI40" s="26"/>
      <c r="CJ40" s="26"/>
      <c r="CK40" s="26">
        <v>125000</v>
      </c>
      <c r="CL40" s="44"/>
      <c r="CM40" s="26">
        <f t="shared" si="18"/>
        <v>102973.36</v>
      </c>
      <c r="CN40" s="2">
        <f>2017.93+955.43</f>
        <v>2973.36</v>
      </c>
      <c r="CO40" s="60">
        <v>100000</v>
      </c>
      <c r="CP40" s="44"/>
      <c r="CQ40" s="67"/>
      <c r="CR40" s="67"/>
      <c r="CS40" s="63"/>
      <c r="CT40" s="44"/>
      <c r="CU40" s="67"/>
      <c r="CV40" s="67"/>
      <c r="CW40" s="63"/>
      <c r="CX40" s="44"/>
      <c r="CY40" s="67"/>
      <c r="CZ40" s="67"/>
      <c r="DA40" s="63"/>
      <c r="DB40" s="44"/>
      <c r="DC40" s="61"/>
      <c r="DD40" s="64"/>
      <c r="DE40" s="29"/>
      <c r="DF40" s="44"/>
      <c r="DG40" s="61">
        <f t="shared" si="14"/>
        <v>135926</v>
      </c>
      <c r="DH40" s="65">
        <v>1678</v>
      </c>
      <c r="DI40" s="63">
        <v>134248</v>
      </c>
      <c r="DJ40" s="44"/>
      <c r="DK40" s="61">
        <f t="shared" si="15"/>
        <v>91431.78</v>
      </c>
      <c r="DL40" s="64">
        <f>896.39*2</f>
        <v>1792.78</v>
      </c>
      <c r="DM40" s="29">
        <v>89639</v>
      </c>
      <c r="DN40" s="44"/>
      <c r="DO40" s="54">
        <f t="shared" si="19"/>
        <v>227973.36</v>
      </c>
      <c r="DP40" s="54">
        <f t="shared" si="20"/>
        <v>2973.36</v>
      </c>
      <c r="DQ40" s="54">
        <f t="shared" si="20"/>
        <v>225000</v>
      </c>
      <c r="DR40" s="44"/>
      <c r="DS40" s="54">
        <f t="shared" si="16"/>
        <v>227357.78</v>
      </c>
      <c r="DT40" s="54">
        <f t="shared" si="21"/>
        <v>3470.7799999999997</v>
      </c>
      <c r="DU40" s="54">
        <f t="shared" si="21"/>
        <v>223887</v>
      </c>
      <c r="DV40" s="44"/>
      <c r="DW40" s="54">
        <f t="shared" si="17"/>
        <v>455331.14</v>
      </c>
      <c r="DX40" s="54">
        <f t="shared" si="22"/>
        <v>6444.1399999999994</v>
      </c>
      <c r="DY40" s="54">
        <f t="shared" si="22"/>
        <v>448887</v>
      </c>
      <c r="DZ40" s="44"/>
    </row>
    <row r="41" spans="1:130" x14ac:dyDescent="0.2">
      <c r="A41" s="58">
        <v>2049</v>
      </c>
      <c r="B41" s="44"/>
      <c r="C41" s="26"/>
      <c r="D41" s="26"/>
      <c r="E41" s="26"/>
      <c r="F41" s="44"/>
      <c r="G41" s="26"/>
      <c r="H41" s="26"/>
      <c r="I41" s="26"/>
      <c r="J41" s="44"/>
      <c r="K41" s="26"/>
      <c r="L41" s="26"/>
      <c r="M41" s="26"/>
      <c r="N41" s="44"/>
      <c r="O41" s="26"/>
      <c r="P41" s="26"/>
      <c r="Q41" s="26"/>
      <c r="R41" s="44"/>
      <c r="S41" s="54"/>
      <c r="T41" s="54"/>
      <c r="U41" s="54"/>
      <c r="V41" s="44"/>
      <c r="W41" s="26"/>
      <c r="X41" s="26"/>
      <c r="Y41" s="26"/>
      <c r="Z41" s="44"/>
      <c r="AA41" s="26"/>
      <c r="AB41" s="26"/>
      <c r="AC41" s="26"/>
      <c r="AD41" s="44"/>
      <c r="AE41" s="26"/>
      <c r="AF41" s="26"/>
      <c r="AG41" s="26"/>
      <c r="AH41" s="44"/>
      <c r="AI41" s="67"/>
      <c r="AJ41" s="67"/>
      <c r="AK41" s="67"/>
      <c r="AL41" s="44"/>
      <c r="AM41" s="26"/>
      <c r="AN41" s="26"/>
      <c r="AO41" s="26"/>
      <c r="AP41" s="44"/>
      <c r="AQ41" s="26"/>
      <c r="AR41" s="26"/>
      <c r="AS41" s="26"/>
      <c r="AT41" s="44"/>
      <c r="AU41" s="26"/>
      <c r="AV41" s="26"/>
      <c r="AW41" s="26"/>
      <c r="AX41" s="44"/>
      <c r="AY41" s="26"/>
      <c r="AZ41" s="26"/>
      <c r="BA41" s="26"/>
      <c r="BB41" s="44"/>
      <c r="BC41" s="26"/>
      <c r="BD41" s="26"/>
      <c r="BE41" s="26"/>
      <c r="BF41" s="44"/>
      <c r="BG41" s="26"/>
      <c r="BH41" s="26"/>
      <c r="BI41" s="26"/>
      <c r="BJ41" s="44"/>
      <c r="BK41" s="26"/>
      <c r="BL41" s="26"/>
      <c r="BM41" s="26"/>
      <c r="BN41" s="44"/>
      <c r="BO41" s="26"/>
      <c r="BP41" s="26"/>
      <c r="BQ41" s="26"/>
      <c r="BR41" s="44"/>
      <c r="BS41" s="54"/>
      <c r="BT41" s="69"/>
      <c r="BU41" s="69"/>
      <c r="BV41" s="44"/>
      <c r="BW41" s="54"/>
      <c r="BX41" s="69"/>
      <c r="BY41" s="69"/>
      <c r="BZ41" s="44"/>
      <c r="CA41" s="54"/>
      <c r="CB41" s="69"/>
      <c r="CC41" s="69"/>
      <c r="CD41" s="44"/>
      <c r="CE41" s="26"/>
      <c r="CF41" s="26"/>
      <c r="CG41" s="26"/>
      <c r="CH41" s="44"/>
      <c r="CI41" s="26"/>
      <c r="CJ41" s="26"/>
      <c r="CK41" s="26">
        <v>125000</v>
      </c>
      <c r="CL41" s="44"/>
      <c r="CM41" s="26">
        <f t="shared" si="18"/>
        <v>90718.24</v>
      </c>
      <c r="CN41" s="2">
        <f>955.43-160.19</f>
        <v>795.24</v>
      </c>
      <c r="CO41" s="60">
        <v>89923</v>
      </c>
      <c r="CP41" s="44"/>
      <c r="CQ41" s="67"/>
      <c r="CR41" s="67"/>
      <c r="CS41" s="63"/>
      <c r="CT41" s="44"/>
      <c r="CU41" s="67"/>
      <c r="CV41" s="67"/>
      <c r="CW41" s="63"/>
      <c r="CX41" s="44"/>
      <c r="CY41" s="67"/>
      <c r="CZ41" s="67"/>
      <c r="DA41" s="63"/>
      <c r="DB41" s="44"/>
      <c r="DC41" s="67"/>
      <c r="DD41" s="70"/>
      <c r="DE41" s="29"/>
      <c r="DF41" s="44"/>
      <c r="DG41" s="61"/>
      <c r="DH41" s="65"/>
      <c r="DI41" s="63"/>
      <c r="DJ41" s="44"/>
      <c r="DK41" s="67"/>
      <c r="DL41" s="70"/>
      <c r="DM41" s="29"/>
      <c r="DN41" s="44"/>
      <c r="DO41" s="54">
        <f t="shared" si="19"/>
        <v>215718.24</v>
      </c>
      <c r="DP41" s="54">
        <f t="shared" si="20"/>
        <v>795.24</v>
      </c>
      <c r="DQ41" s="54">
        <f t="shared" si="20"/>
        <v>214923</v>
      </c>
      <c r="DR41" s="44"/>
      <c r="DS41" s="54"/>
      <c r="DT41" s="54"/>
      <c r="DU41" s="54"/>
      <c r="DV41" s="44"/>
      <c r="DW41" s="54">
        <f t="shared" si="17"/>
        <v>215718.24</v>
      </c>
      <c r="DX41" s="54">
        <f t="shared" si="22"/>
        <v>795.24</v>
      </c>
      <c r="DY41" s="54">
        <f t="shared" si="22"/>
        <v>214923</v>
      </c>
      <c r="DZ41" s="44"/>
    </row>
    <row r="42" spans="1:130" x14ac:dyDescent="0.2">
      <c r="A42" s="58">
        <v>2050</v>
      </c>
      <c r="B42" s="44"/>
      <c r="C42" s="26"/>
      <c r="D42" s="26"/>
      <c r="E42" s="26"/>
      <c r="F42" s="44"/>
      <c r="G42" s="26"/>
      <c r="H42" s="26"/>
      <c r="I42" s="26"/>
      <c r="J42" s="44"/>
      <c r="K42" s="26"/>
      <c r="L42" s="26"/>
      <c r="M42" s="26"/>
      <c r="N42" s="44"/>
      <c r="O42" s="26"/>
      <c r="P42" s="26"/>
      <c r="Q42" s="26"/>
      <c r="R42" s="44"/>
      <c r="S42" s="54"/>
      <c r="T42" s="54"/>
      <c r="U42" s="54"/>
      <c r="V42" s="44"/>
      <c r="W42" s="26"/>
      <c r="X42" s="26"/>
      <c r="Y42" s="26"/>
      <c r="Z42" s="44"/>
      <c r="AA42" s="26"/>
      <c r="AB42" s="26"/>
      <c r="AC42" s="26"/>
      <c r="AD42" s="44"/>
      <c r="AE42" s="26"/>
      <c r="AF42" s="26"/>
      <c r="AG42" s="26"/>
      <c r="AH42" s="44"/>
      <c r="AI42" s="67"/>
      <c r="AJ42" s="67"/>
      <c r="AK42" s="67"/>
      <c r="AL42" s="44"/>
      <c r="AM42" s="26"/>
      <c r="AN42" s="26"/>
      <c r="AO42" s="26"/>
      <c r="AP42" s="44"/>
      <c r="AQ42" s="26"/>
      <c r="AR42" s="26"/>
      <c r="AS42" s="26"/>
      <c r="AT42" s="44"/>
      <c r="AU42" s="26"/>
      <c r="AV42" s="26"/>
      <c r="AW42" s="26"/>
      <c r="AX42" s="44"/>
      <c r="AY42" s="26"/>
      <c r="AZ42" s="26"/>
      <c r="BA42" s="26"/>
      <c r="BB42" s="44"/>
      <c r="BC42" s="26"/>
      <c r="BD42" s="26"/>
      <c r="BE42" s="26"/>
      <c r="BF42" s="44"/>
      <c r="BG42" s="26"/>
      <c r="BH42" s="26"/>
      <c r="BI42" s="26"/>
      <c r="BJ42" s="44"/>
      <c r="BK42" s="26"/>
      <c r="BL42" s="26"/>
      <c r="BM42" s="26"/>
      <c r="BN42" s="44"/>
      <c r="BO42" s="26"/>
      <c r="BP42" s="26"/>
      <c r="BQ42" s="26"/>
      <c r="BR42" s="44"/>
      <c r="BS42" s="54"/>
      <c r="BT42" s="69"/>
      <c r="BU42" s="69"/>
      <c r="BV42" s="44"/>
      <c r="BW42" s="54"/>
      <c r="BX42" s="69"/>
      <c r="BY42" s="69"/>
      <c r="BZ42" s="44"/>
      <c r="CA42" s="54"/>
      <c r="CB42" s="69"/>
      <c r="CC42" s="69"/>
      <c r="CD42" s="44"/>
      <c r="CE42" s="26"/>
      <c r="CF42" s="26"/>
      <c r="CG42" s="26"/>
      <c r="CH42" s="44"/>
      <c r="CI42" s="26"/>
      <c r="CJ42" s="26"/>
      <c r="CK42" s="26">
        <v>130000</v>
      </c>
      <c r="CL42" s="44"/>
      <c r="CM42" s="26"/>
      <c r="CO42" s="60"/>
      <c r="CP42" s="44"/>
      <c r="CQ42" s="67"/>
      <c r="CR42" s="67"/>
      <c r="CS42" s="63"/>
      <c r="CT42" s="44"/>
      <c r="CU42" s="67"/>
      <c r="CV42" s="67"/>
      <c r="CW42" s="63"/>
      <c r="CX42" s="44"/>
      <c r="CY42" s="67"/>
      <c r="CZ42" s="67"/>
      <c r="DA42" s="63"/>
      <c r="DB42" s="44"/>
      <c r="DC42" s="67"/>
      <c r="DD42" s="70"/>
      <c r="DE42" s="29"/>
      <c r="DF42" s="44"/>
      <c r="DG42" s="67"/>
      <c r="DH42" s="70"/>
      <c r="DI42" s="29"/>
      <c r="DJ42" s="44"/>
      <c r="DK42" s="61"/>
      <c r="DL42" s="71"/>
      <c r="DM42" s="29"/>
      <c r="DN42" s="44"/>
      <c r="DO42" s="54">
        <f t="shared" si="19"/>
        <v>130000</v>
      </c>
      <c r="DP42" s="54">
        <f t="shared" si="20"/>
        <v>0</v>
      </c>
      <c r="DQ42" s="54">
        <f t="shared" si="20"/>
        <v>130000</v>
      </c>
      <c r="DR42" s="44"/>
      <c r="DS42" s="54"/>
      <c r="DT42" s="54"/>
      <c r="DU42" s="54"/>
      <c r="DV42" s="44"/>
      <c r="DW42" s="54">
        <f t="shared" si="17"/>
        <v>130000</v>
      </c>
      <c r="DX42" s="54">
        <f t="shared" si="22"/>
        <v>0</v>
      </c>
      <c r="DY42" s="54">
        <f t="shared" si="22"/>
        <v>130000</v>
      </c>
      <c r="DZ42" s="44"/>
    </row>
    <row r="43" spans="1:130" x14ac:dyDescent="0.2">
      <c r="A43" s="58">
        <v>2051</v>
      </c>
      <c r="B43" s="44"/>
      <c r="C43" s="26"/>
      <c r="D43" s="26"/>
      <c r="E43" s="26"/>
      <c r="F43" s="44"/>
      <c r="G43" s="26"/>
      <c r="H43" s="26"/>
      <c r="I43" s="26"/>
      <c r="J43" s="44"/>
      <c r="K43" s="26"/>
      <c r="L43" s="26"/>
      <c r="M43" s="26"/>
      <c r="N43" s="44"/>
      <c r="O43" s="26"/>
      <c r="P43" s="26"/>
      <c r="Q43" s="26"/>
      <c r="R43" s="44"/>
      <c r="S43" s="54"/>
      <c r="T43" s="54"/>
      <c r="U43" s="54"/>
      <c r="V43" s="44"/>
      <c r="W43" s="26"/>
      <c r="X43" s="26"/>
      <c r="Y43" s="26"/>
      <c r="Z43" s="44"/>
      <c r="AA43" s="26"/>
      <c r="AB43" s="26"/>
      <c r="AC43" s="26"/>
      <c r="AD43" s="44"/>
      <c r="AE43" s="26"/>
      <c r="AF43" s="26"/>
      <c r="AG43" s="26"/>
      <c r="AH43" s="44"/>
      <c r="AI43" s="67"/>
      <c r="AJ43" s="67"/>
      <c r="AK43" s="67"/>
      <c r="AL43" s="44"/>
      <c r="AM43" s="26"/>
      <c r="AN43" s="26"/>
      <c r="AO43" s="26"/>
      <c r="AP43" s="44"/>
      <c r="AQ43" s="26"/>
      <c r="AR43" s="26"/>
      <c r="AS43" s="26"/>
      <c r="AT43" s="44"/>
      <c r="AU43" s="26"/>
      <c r="AV43" s="26"/>
      <c r="AW43" s="26"/>
      <c r="AX43" s="44"/>
      <c r="AY43" s="26"/>
      <c r="AZ43" s="26"/>
      <c r="BA43" s="26"/>
      <c r="BB43" s="44"/>
      <c r="BC43" s="26"/>
      <c r="BD43" s="26"/>
      <c r="BE43" s="26"/>
      <c r="BF43" s="44"/>
      <c r="BG43" s="26"/>
      <c r="BH43" s="26"/>
      <c r="BI43" s="26"/>
      <c r="BJ43" s="44"/>
      <c r="BK43" s="26"/>
      <c r="BL43" s="26"/>
      <c r="BM43" s="26"/>
      <c r="BN43" s="44"/>
      <c r="BO43" s="26"/>
      <c r="BP43" s="26"/>
      <c r="BQ43" s="26"/>
      <c r="BR43" s="44"/>
      <c r="BS43" s="54"/>
      <c r="BT43" s="69"/>
      <c r="BU43" s="69"/>
      <c r="BV43" s="44"/>
      <c r="BW43" s="54"/>
      <c r="BX43" s="69"/>
      <c r="BY43" s="69"/>
      <c r="BZ43" s="44"/>
      <c r="CA43" s="54"/>
      <c r="CB43" s="69"/>
      <c r="CC43" s="69"/>
      <c r="CD43" s="44"/>
      <c r="CE43" s="26"/>
      <c r="CF43" s="26"/>
      <c r="CG43" s="26"/>
      <c r="CH43" s="44"/>
      <c r="CI43" s="26"/>
      <c r="CJ43" s="26"/>
      <c r="CK43" s="26">
        <v>130000</v>
      </c>
      <c r="CL43" s="44"/>
      <c r="CM43" s="26"/>
      <c r="CO43" s="60"/>
      <c r="CP43" s="44"/>
      <c r="CQ43" s="67"/>
      <c r="CR43" s="67"/>
      <c r="CS43" s="63"/>
      <c r="CT43" s="44"/>
      <c r="CU43" s="67"/>
      <c r="CV43" s="67"/>
      <c r="CW43" s="63"/>
      <c r="CX43" s="44"/>
      <c r="CY43" s="67"/>
      <c r="CZ43" s="67"/>
      <c r="DA43" s="63"/>
      <c r="DB43" s="44"/>
      <c r="DC43" s="67"/>
      <c r="DD43" s="70"/>
      <c r="DE43" s="29"/>
      <c r="DF43" s="44"/>
      <c r="DG43" s="67"/>
      <c r="DH43" s="70"/>
      <c r="DI43" s="29"/>
      <c r="DJ43" s="44"/>
      <c r="DK43" s="72"/>
      <c r="DL43" s="73"/>
      <c r="DM43" s="29"/>
      <c r="DN43" s="44"/>
      <c r="DO43" s="54">
        <f t="shared" si="19"/>
        <v>130000</v>
      </c>
      <c r="DP43" s="54">
        <f t="shared" si="20"/>
        <v>0</v>
      </c>
      <c r="DQ43" s="54">
        <f t="shared" si="20"/>
        <v>130000</v>
      </c>
      <c r="DR43" s="44"/>
      <c r="DS43" s="54"/>
      <c r="DT43" s="54"/>
      <c r="DU43" s="54"/>
      <c r="DV43" s="44"/>
      <c r="DW43" s="54">
        <f t="shared" si="17"/>
        <v>130000</v>
      </c>
      <c r="DX43" s="54">
        <f t="shared" si="22"/>
        <v>0</v>
      </c>
      <c r="DY43" s="54">
        <f t="shared" si="22"/>
        <v>130000</v>
      </c>
      <c r="DZ43" s="44"/>
    </row>
    <row r="44" spans="1:130" x14ac:dyDescent="0.2">
      <c r="A44" s="58">
        <v>2052</v>
      </c>
      <c r="B44" s="44"/>
      <c r="C44" s="26"/>
      <c r="D44" s="26"/>
      <c r="E44" s="26"/>
      <c r="F44" s="44"/>
      <c r="G44" s="26"/>
      <c r="H44" s="26"/>
      <c r="I44" s="26"/>
      <c r="J44" s="44"/>
      <c r="K44" s="26"/>
      <c r="L44" s="26"/>
      <c r="M44" s="26"/>
      <c r="N44" s="44"/>
      <c r="O44" s="26"/>
      <c r="P44" s="26"/>
      <c r="Q44" s="26"/>
      <c r="R44" s="44"/>
      <c r="S44" s="54"/>
      <c r="T44" s="54"/>
      <c r="U44" s="54"/>
      <c r="V44" s="44"/>
      <c r="W44" s="26"/>
      <c r="X44" s="26"/>
      <c r="Y44" s="26"/>
      <c r="Z44" s="44"/>
      <c r="AA44" s="26"/>
      <c r="AB44" s="26"/>
      <c r="AC44" s="26"/>
      <c r="AD44" s="44"/>
      <c r="AE44" s="26"/>
      <c r="AF44" s="26"/>
      <c r="AG44" s="26"/>
      <c r="AH44" s="44"/>
      <c r="AI44" s="67"/>
      <c r="AJ44" s="67"/>
      <c r="AK44" s="67"/>
      <c r="AL44" s="44"/>
      <c r="AM44" s="26"/>
      <c r="AN44" s="26"/>
      <c r="AO44" s="26"/>
      <c r="AP44" s="44"/>
      <c r="AQ44" s="26"/>
      <c r="AR44" s="26"/>
      <c r="AS44" s="26"/>
      <c r="AT44" s="44"/>
      <c r="AU44" s="26"/>
      <c r="AV44" s="26"/>
      <c r="AW44" s="26"/>
      <c r="AX44" s="44"/>
      <c r="AY44" s="26"/>
      <c r="AZ44" s="26"/>
      <c r="BA44" s="26"/>
      <c r="BB44" s="44"/>
      <c r="BC44" s="26"/>
      <c r="BD44" s="26"/>
      <c r="BE44" s="26"/>
      <c r="BF44" s="44"/>
      <c r="BG44" s="26"/>
      <c r="BH44" s="26"/>
      <c r="BI44" s="26"/>
      <c r="BJ44" s="44"/>
      <c r="BK44" s="26"/>
      <c r="BL44" s="26"/>
      <c r="BM44" s="26"/>
      <c r="BN44" s="44"/>
      <c r="BO44" s="26"/>
      <c r="BP44" s="26"/>
      <c r="BQ44" s="26"/>
      <c r="BR44" s="44"/>
      <c r="BS44" s="54"/>
      <c r="BT44" s="69"/>
      <c r="BU44" s="69"/>
      <c r="BV44" s="44"/>
      <c r="BW44" s="54"/>
      <c r="BX44" s="69"/>
      <c r="BY44" s="69"/>
      <c r="BZ44" s="44"/>
      <c r="CA44" s="54"/>
      <c r="CB44" s="69"/>
      <c r="CC44" s="69"/>
      <c r="CD44" s="44"/>
      <c r="CE44" s="26"/>
      <c r="CF44" s="26"/>
      <c r="CG44" s="26"/>
      <c r="CH44" s="44"/>
      <c r="CI44" s="26"/>
      <c r="CJ44" s="26"/>
      <c r="CK44" s="26">
        <v>130000</v>
      </c>
      <c r="CL44" s="44"/>
      <c r="CM44" s="26"/>
      <c r="CO44" s="60"/>
      <c r="CP44" s="44"/>
      <c r="CQ44" s="67"/>
      <c r="CR44" s="67"/>
      <c r="CS44" s="63"/>
      <c r="CT44" s="44"/>
      <c r="CU44" s="67"/>
      <c r="CV44" s="67"/>
      <c r="CW44" s="63"/>
      <c r="CX44" s="44"/>
      <c r="CY44" s="67"/>
      <c r="CZ44" s="67"/>
      <c r="DA44" s="63"/>
      <c r="DB44" s="44"/>
      <c r="DC44" s="67"/>
      <c r="DD44" s="70"/>
      <c r="DE44" s="29"/>
      <c r="DF44" s="44"/>
      <c r="DG44" s="72"/>
      <c r="DH44" s="70"/>
      <c r="DI44" s="29"/>
      <c r="DJ44" s="44"/>
      <c r="DK44" s="72"/>
      <c r="DL44" s="73"/>
      <c r="DM44" s="29"/>
      <c r="DN44" s="44"/>
      <c r="DO44" s="54">
        <f t="shared" si="19"/>
        <v>130000</v>
      </c>
      <c r="DP44" s="54">
        <f t="shared" si="20"/>
        <v>0</v>
      </c>
      <c r="DQ44" s="54">
        <f t="shared" si="20"/>
        <v>130000</v>
      </c>
      <c r="DR44" s="44"/>
      <c r="DS44" s="54"/>
      <c r="DT44" s="54"/>
      <c r="DU44" s="54"/>
      <c r="DV44" s="44"/>
      <c r="DW44" s="54"/>
      <c r="DX44" s="54">
        <f t="shared" si="22"/>
        <v>0</v>
      </c>
      <c r="DY44" s="54">
        <f t="shared" si="22"/>
        <v>130000</v>
      </c>
      <c r="DZ44" s="44"/>
    </row>
    <row r="45" spans="1:130" x14ac:dyDescent="0.2">
      <c r="A45" s="58">
        <v>2053</v>
      </c>
      <c r="S45" s="74"/>
      <c r="T45" s="74"/>
      <c r="U45" s="74"/>
      <c r="BG45" s="26"/>
      <c r="BH45" s="26"/>
      <c r="BI45" s="26"/>
      <c r="BS45" s="74"/>
      <c r="BT45" s="74"/>
      <c r="BU45" s="74"/>
      <c r="BW45" s="74"/>
      <c r="BX45" s="74"/>
      <c r="BY45" s="74"/>
      <c r="CA45" s="74"/>
      <c r="CB45" s="74"/>
      <c r="CC45" s="74"/>
      <c r="CK45" s="26">
        <v>135000</v>
      </c>
      <c r="CO45" s="60"/>
      <c r="DO45" s="54">
        <f t="shared" si="19"/>
        <v>135000</v>
      </c>
      <c r="DP45" s="54">
        <f t="shared" si="20"/>
        <v>0</v>
      </c>
      <c r="DQ45" s="54">
        <f t="shared" si="20"/>
        <v>135000</v>
      </c>
      <c r="DS45" s="74"/>
      <c r="DT45" s="74"/>
      <c r="DU45" s="54"/>
      <c r="DW45" s="54"/>
      <c r="DX45" s="54">
        <f t="shared" si="22"/>
        <v>0</v>
      </c>
      <c r="DY45" s="54">
        <f t="shared" si="22"/>
        <v>135000</v>
      </c>
    </row>
    <row r="46" spans="1:130" x14ac:dyDescent="0.2">
      <c r="S46" s="74"/>
      <c r="T46" s="74"/>
      <c r="U46" s="74"/>
      <c r="BS46" s="74"/>
      <c r="BT46" s="74"/>
      <c r="BU46" s="74"/>
      <c r="BW46" s="74"/>
      <c r="BX46" s="74"/>
      <c r="BY46" s="74"/>
      <c r="CA46" s="74"/>
      <c r="CB46" s="74"/>
      <c r="CC46" s="74"/>
      <c r="DO46" s="54">
        <f t="shared" si="19"/>
        <v>0</v>
      </c>
      <c r="DP46" s="54">
        <f t="shared" si="20"/>
        <v>0</v>
      </c>
      <c r="DQ46" s="54">
        <f t="shared" si="20"/>
        <v>0</v>
      </c>
      <c r="DS46" s="74"/>
      <c r="DT46" s="74"/>
      <c r="DU46" s="74"/>
      <c r="DW46" s="74"/>
      <c r="DX46" s="54">
        <f t="shared" si="22"/>
        <v>0</v>
      </c>
      <c r="DY46" s="54">
        <f t="shared" si="22"/>
        <v>0</v>
      </c>
    </row>
    <row r="47" spans="1:130" ht="13.5" thickBot="1" x14ac:dyDescent="0.25">
      <c r="A47" s="75" t="s">
        <v>113</v>
      </c>
      <c r="B47" s="76"/>
      <c r="C47" s="77">
        <f>SUM(C15:C24)</f>
        <v>3066862</v>
      </c>
      <c r="D47" s="77">
        <f>SUM(D15:D24)</f>
        <v>411862</v>
      </c>
      <c r="E47" s="77">
        <f>SUM(E15:E24)</f>
        <v>2655000</v>
      </c>
      <c r="F47" s="76"/>
      <c r="G47" s="77">
        <f>SUM(G15:G24)</f>
        <v>0</v>
      </c>
      <c r="H47" s="77">
        <f>SUM(H15:H24)</f>
        <v>0</v>
      </c>
      <c r="I47" s="77">
        <f>SUM(I15:I24)</f>
        <v>0</v>
      </c>
      <c r="J47" s="76"/>
      <c r="K47" s="77">
        <f>SUM(K15:K24)</f>
        <v>0</v>
      </c>
      <c r="L47" s="77">
        <f>SUM(L15:L24)</f>
        <v>0</v>
      </c>
      <c r="M47" s="77">
        <f>SUM(M15:M24)</f>
        <v>0</v>
      </c>
      <c r="N47" s="76"/>
      <c r="O47" s="77">
        <f>SUM(O15:O24)</f>
        <v>0</v>
      </c>
      <c r="P47" s="77">
        <f>SUM(P15:P24)</f>
        <v>0</v>
      </c>
      <c r="Q47" s="77">
        <f>SUM(Q15:Q24)</f>
        <v>0</v>
      </c>
      <c r="R47" s="76"/>
      <c r="S47" s="78">
        <f>SUM(S15:S24)</f>
        <v>3066862</v>
      </c>
      <c r="T47" s="78">
        <f>SUM(T15:T24)</f>
        <v>411862</v>
      </c>
      <c r="U47" s="78">
        <f>SUM(U15:U24)</f>
        <v>2655000</v>
      </c>
      <c r="V47" s="76"/>
      <c r="W47" s="77">
        <f>SUM(W15:W24)</f>
        <v>0</v>
      </c>
      <c r="X47" s="77">
        <f>SUM(X15:X24)</f>
        <v>0</v>
      </c>
      <c r="Y47" s="77">
        <f>SUM(Y15:Y24)</f>
        <v>0</v>
      </c>
      <c r="Z47" s="76"/>
      <c r="AA47" s="77">
        <f>SUM(AA15:AA24)</f>
        <v>0</v>
      </c>
      <c r="AB47" s="77">
        <f>SUM(AB15:AB24)</f>
        <v>0</v>
      </c>
      <c r="AC47" s="77">
        <f>SUM(AC15:AC24)</f>
        <v>0</v>
      </c>
      <c r="AD47" s="76"/>
      <c r="AE47" s="77">
        <f>SUM(AE15:AE24)</f>
        <v>0</v>
      </c>
      <c r="AF47" s="77">
        <f>SUM(AF15:AF24)</f>
        <v>0</v>
      </c>
      <c r="AG47" s="77">
        <f>SUM(AG15:AG24)</f>
        <v>0</v>
      </c>
      <c r="AH47" s="76"/>
      <c r="AI47" s="77">
        <f>SUM(AI15:AI24)</f>
        <v>0</v>
      </c>
      <c r="AJ47" s="77">
        <f>SUM(AJ15:AJ24)</f>
        <v>0</v>
      </c>
      <c r="AK47" s="77">
        <f>SUM(AK15:AK24)</f>
        <v>0</v>
      </c>
      <c r="AL47" s="76"/>
      <c r="AM47" s="77">
        <f>SUM(AM15:AM24)</f>
        <v>0</v>
      </c>
      <c r="AN47" s="77">
        <f>SUM(AN15:AN24)</f>
        <v>0</v>
      </c>
      <c r="AO47" s="77">
        <f>SUM(AO15:AO24)</f>
        <v>0</v>
      </c>
      <c r="AP47" s="76"/>
      <c r="AQ47" s="77">
        <f>SUM(AQ15:AQ27)</f>
        <v>0</v>
      </c>
      <c r="AR47" s="77">
        <f>SUM(AR15:AR27)</f>
        <v>0</v>
      </c>
      <c r="AS47" s="77">
        <f>SUM(AS15:AS27)</f>
        <v>0</v>
      </c>
      <c r="AT47" s="76"/>
      <c r="AU47" s="77">
        <f>SUM(AU15:AU27)</f>
        <v>922619.86</v>
      </c>
      <c r="AV47" s="77">
        <f>SUM(AV15:AV27)</f>
        <v>191444.86</v>
      </c>
      <c r="AW47" s="77">
        <f>SUM(AW15:AW27)</f>
        <v>731175</v>
      </c>
      <c r="AX47" s="76"/>
      <c r="AY47" s="77">
        <f>SUM(AY15:AY24)</f>
        <v>120317</v>
      </c>
      <c r="AZ47" s="77">
        <f>SUM(AZ15:AZ24)</f>
        <v>5955</v>
      </c>
      <c r="BA47" s="77">
        <f>SUM(BA15:BA24)</f>
        <v>114362</v>
      </c>
      <c r="BB47" s="76"/>
      <c r="BC47" s="77">
        <f>SUM(BC15:BC28)</f>
        <v>203011</v>
      </c>
      <c r="BD47" s="77">
        <f>SUM(BD15:BD28)</f>
        <v>19148</v>
      </c>
      <c r="BE47" s="77">
        <f>SUM(BE15:BE28)</f>
        <v>183863</v>
      </c>
      <c r="BF47" s="76"/>
      <c r="BG47" s="77">
        <f>SUM(BG15:BG26)</f>
        <v>431815</v>
      </c>
      <c r="BH47" s="77">
        <f>SUM(BH15:BH26)</f>
        <v>93050</v>
      </c>
      <c r="BI47" s="77">
        <f>SUM(BI15:BI26)</f>
        <v>338765</v>
      </c>
      <c r="BJ47" s="76"/>
      <c r="BK47" s="77">
        <f>SUM(BK15:BK24)</f>
        <v>0</v>
      </c>
      <c r="BL47" s="77">
        <f>SUM(BL15:BL24)</f>
        <v>0</v>
      </c>
      <c r="BM47" s="77">
        <f>SUM(BM15:BM24)</f>
        <v>0</v>
      </c>
      <c r="BN47" s="76"/>
      <c r="BO47" s="77">
        <f>SUM(BO15:BO26)</f>
        <v>0</v>
      </c>
      <c r="BP47" s="77">
        <f>SUM(BP15:BP26)</f>
        <v>0</v>
      </c>
      <c r="BQ47" s="77">
        <f>SUM(BQ15:BQ26)</f>
        <v>0</v>
      </c>
      <c r="BR47" s="76"/>
      <c r="BS47" s="78">
        <f>SUM(BS15:BS27)</f>
        <v>272575</v>
      </c>
      <c r="BT47" s="78">
        <f>SUM(BT15:BT27)</f>
        <v>17594</v>
      </c>
      <c r="BU47" s="78">
        <f>SUM(BU15:BU44)</f>
        <v>254981</v>
      </c>
      <c r="BV47" s="76"/>
      <c r="BW47" s="78">
        <f>SUM(BW15:BW44)</f>
        <v>665134</v>
      </c>
      <c r="BX47" s="78">
        <f>SUM(BX15:BX44)</f>
        <v>96145</v>
      </c>
      <c r="BY47" s="78">
        <f>SUM(BY15:BY44)</f>
        <v>568989</v>
      </c>
      <c r="BZ47" s="76"/>
      <c r="CA47" s="78">
        <f>SUM(CA15:CA44)</f>
        <v>4344097.8599999994</v>
      </c>
      <c r="CB47" s="78">
        <f>SUM(CB15:CB44)</f>
        <v>618933.86</v>
      </c>
      <c r="CC47" s="78">
        <f>SUM(CC15:CC44)</f>
        <v>3725164</v>
      </c>
      <c r="CD47" s="76"/>
      <c r="CE47" s="77">
        <f>SUM(CE15:CE24)</f>
        <v>270875</v>
      </c>
      <c r="CF47" s="77">
        <f>SUM(CF15:CF24)</f>
        <v>30875</v>
      </c>
      <c r="CG47" s="77">
        <f>SUM(CG15:CG24)</f>
        <v>240000</v>
      </c>
      <c r="CH47" s="76"/>
      <c r="CI47" s="77">
        <f>SUM(CI15:CI46)</f>
        <v>694902.64999999991</v>
      </c>
      <c r="CJ47" s="77">
        <f>SUM(CJ15:CJ46)</f>
        <v>64902.65</v>
      </c>
      <c r="CK47" s="77">
        <f>SUM(CK15:CK46)</f>
        <v>3030000</v>
      </c>
      <c r="CL47" s="76"/>
      <c r="CM47" s="77">
        <f>SUM(CM15:CM46)</f>
        <v>2784764.74</v>
      </c>
      <c r="CN47" s="77">
        <f>SUM(CN15:CN46)</f>
        <v>664841.73999999976</v>
      </c>
      <c r="CO47" s="77">
        <f>SUM(CO15:CO46)</f>
        <v>2119923</v>
      </c>
      <c r="CP47" s="79"/>
      <c r="CQ47" s="80">
        <f>SUM(CQ15:CQ46)</f>
        <v>7142002</v>
      </c>
      <c r="CR47" s="80">
        <f>SUM(CR15:CR46)</f>
        <v>1184567</v>
      </c>
      <c r="CS47" s="80">
        <f>SUM(CS15:CS46)</f>
        <v>5957435</v>
      </c>
      <c r="CT47" s="79"/>
      <c r="CU47" s="80">
        <f>SUM(CU15:CU46)</f>
        <v>4928921</v>
      </c>
      <c r="CV47" s="80">
        <f>SUM(CV15:CV46)</f>
        <v>720029</v>
      </c>
      <c r="CW47" s="80">
        <f>SUM(CW15:CW46)</f>
        <v>4208892</v>
      </c>
      <c r="CX47" s="79"/>
      <c r="CY47" s="80">
        <f>SUM(CY15:CY46)</f>
        <v>3543750</v>
      </c>
      <c r="CZ47" s="80">
        <f>SUM(CZ15:CZ46)</f>
        <v>553750</v>
      </c>
      <c r="DA47" s="80">
        <f>SUM(DA15:DA46)</f>
        <v>2990000</v>
      </c>
      <c r="DB47" s="79"/>
      <c r="DC47" s="80">
        <f>SUM(DC15:DC46)</f>
        <v>4127921</v>
      </c>
      <c r="DD47" s="80">
        <f>SUM(DD15:DD46)</f>
        <v>1059210</v>
      </c>
      <c r="DE47" s="80">
        <f>SUM(DE15:DE46)</f>
        <v>3068711</v>
      </c>
      <c r="DF47" s="79"/>
      <c r="DG47" s="80">
        <f>SUM(DG15:DG46)</f>
        <v>3865769</v>
      </c>
      <c r="DH47" s="80">
        <f>SUM(DH15:DH46)</f>
        <v>1006521</v>
      </c>
      <c r="DI47" s="80">
        <f>SUM(DI15:DI46)</f>
        <v>2859248</v>
      </c>
      <c r="DJ47" s="79"/>
      <c r="DK47" s="80">
        <f>SUM(DK15:DK46)</f>
        <v>2258291.2800000003</v>
      </c>
      <c r="DL47" s="80">
        <f>SUM(DL15:DL46)</f>
        <v>515652.28000000049</v>
      </c>
      <c r="DM47" s="80">
        <f>SUM(DM15:DM46)</f>
        <v>1742639</v>
      </c>
      <c r="DN47" s="76"/>
      <c r="DO47" s="78">
        <f>SUM(DO15:DO46)</f>
        <v>13021669.389999995</v>
      </c>
      <c r="DP47" s="78">
        <f>SUM(DP15:DP46)</f>
        <v>1914311.3900000004</v>
      </c>
      <c r="DQ47" s="78">
        <f>SUM(DQ15:DQ46)</f>
        <v>11107358</v>
      </c>
      <c r="DR47" s="76"/>
      <c r="DS47" s="78">
        <f>SUM(DS15:DS46)</f>
        <v>18724652.280000001</v>
      </c>
      <c r="DT47" s="78">
        <f>SUM(DT15:DT46)</f>
        <v>3855162.2799999961</v>
      </c>
      <c r="DU47" s="78">
        <f>SUM(DU15:DU46)</f>
        <v>14869490</v>
      </c>
      <c r="DV47" s="76"/>
      <c r="DW47" s="78">
        <f>SUM(DW15:DW44)</f>
        <v>31752196.669999994</v>
      </c>
      <c r="DX47" s="78">
        <f>SUM(DX15:DX44)</f>
        <v>5800348.6699999953</v>
      </c>
      <c r="DY47" s="78">
        <f>SUM(DY15:DY45)</f>
        <v>26216848</v>
      </c>
      <c r="DZ47" s="76"/>
    </row>
    <row r="48" spans="1:130" s="82" customFormat="1" ht="13.5" thickTop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69">
        <f>+O47+K47+G47+C47</f>
        <v>3066862</v>
      </c>
      <c r="T48" s="69">
        <f>+P47+L47+H47+D47</f>
        <v>411862</v>
      </c>
      <c r="U48" s="69">
        <f>+Q47+M47+I47+E47</f>
        <v>2655000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 s="67">
        <f>SUM(AE47,AA47,W47)</f>
        <v>0</v>
      </c>
      <c r="AJ48" s="67">
        <f>SUM(AF47,AB47,X47)</f>
        <v>0</v>
      </c>
      <c r="AK48" s="67">
        <f>SUM(AG47,AC47,Y47)</f>
        <v>0</v>
      </c>
      <c r="AL48"/>
      <c r="AM48" s="10" t="s">
        <v>114</v>
      </c>
      <c r="AN48"/>
      <c r="AO48" s="81">
        <v>0</v>
      </c>
      <c r="AP48"/>
      <c r="AQ48" s="10" t="s">
        <v>114</v>
      </c>
      <c r="AR48"/>
      <c r="AS48" s="81">
        <v>0</v>
      </c>
      <c r="AT48"/>
      <c r="AU48" s="10" t="s">
        <v>114</v>
      </c>
      <c r="AV48"/>
      <c r="AW48" s="81">
        <f>AW15</f>
        <v>46789</v>
      </c>
      <c r="AX48"/>
      <c r="AY48" s="10"/>
      <c r="AZ48"/>
      <c r="BA48" s="81"/>
      <c r="BB48"/>
      <c r="BC48" s="10"/>
      <c r="BD48"/>
      <c r="BE48" s="81"/>
      <c r="BF48"/>
      <c r="BJ48"/>
      <c r="BK48"/>
      <c r="BL48"/>
      <c r="BM48"/>
      <c r="BN48"/>
      <c r="BO48"/>
      <c r="BP48"/>
      <c r="BQ48"/>
      <c r="BR48"/>
      <c r="BS48" s="69">
        <f>SUM(BO47,BK47,BG47)</f>
        <v>431815</v>
      </c>
      <c r="BT48" s="69">
        <f>SUM(BP47,BL47,BH47)</f>
        <v>93050</v>
      </c>
      <c r="BU48" s="69">
        <f>SUM(BQ47,BM47,BI47)</f>
        <v>338765</v>
      </c>
      <c r="BV48"/>
      <c r="BW48" s="69">
        <f>SUM(BS47,AY47)</f>
        <v>392892</v>
      </c>
      <c r="BX48" s="69">
        <f>SUM(BT47,AZ47)</f>
        <v>23549</v>
      </c>
      <c r="BY48" s="69">
        <f>SUM(BA47,BE47,BI47)</f>
        <v>636990</v>
      </c>
      <c r="BZ48"/>
      <c r="CA48" s="69">
        <f>SUM(BW47,BC47,AU47,S47)</f>
        <v>4857626.8599999994</v>
      </c>
      <c r="CB48" s="69">
        <f>SUM(BX47,BD47,AV47,T47)</f>
        <v>718599.86</v>
      </c>
      <c r="CC48" s="69">
        <f>SUM(BY47,AW47,U47)</f>
        <v>3955164</v>
      </c>
      <c r="CD48"/>
      <c r="CE48" s="10" t="s">
        <v>114</v>
      </c>
      <c r="CF48"/>
      <c r="CG48" s="81">
        <f>CG15</f>
        <v>25000</v>
      </c>
      <c r="CH48"/>
      <c r="CI48" s="10" t="s">
        <v>114</v>
      </c>
      <c r="CJ48"/>
      <c r="CK48" s="81">
        <f>CK15</f>
        <v>0</v>
      </c>
      <c r="CL48"/>
      <c r="CM48"/>
      <c r="CN48" s="2"/>
      <c r="CO48" s="83">
        <f>CO15</f>
        <v>60000</v>
      </c>
      <c r="CP48"/>
      <c r="CQ48" s="10" t="s">
        <v>114</v>
      </c>
      <c r="CR48"/>
      <c r="CS48" s="81">
        <f>CS15</f>
        <v>335000</v>
      </c>
      <c r="CT48"/>
      <c r="CU48" s="10" t="s">
        <v>115</v>
      </c>
      <c r="CV48"/>
      <c r="CW48" s="81">
        <f>CW15</f>
        <v>280000</v>
      </c>
      <c r="CX48"/>
      <c r="CY48" t="s">
        <v>114</v>
      </c>
      <c r="CZ48"/>
      <c r="DA48" s="84">
        <f>DA15</f>
        <v>180000</v>
      </c>
      <c r="DB48"/>
      <c r="DC48" t="s">
        <v>114</v>
      </c>
      <c r="DD48"/>
      <c r="DE48" s="84">
        <f>DE15</f>
        <v>90000</v>
      </c>
      <c r="DF48"/>
      <c r="DG48" t="s">
        <v>114</v>
      </c>
      <c r="DH48"/>
      <c r="DI48" s="84">
        <f>DI15</f>
        <v>80000</v>
      </c>
      <c r="DJ48"/>
      <c r="DK48" t="s">
        <v>114</v>
      </c>
      <c r="DL48"/>
      <c r="DM48" s="84">
        <f>DM15</f>
        <v>51000</v>
      </c>
      <c r="DN48"/>
      <c r="DO48" s="85">
        <f>SUM(DK47,DG47,DC47,CY47,CU47)</f>
        <v>18724652.280000001</v>
      </c>
      <c r="DP48" s="85">
        <f>SUM(DL47,DH47,DD47,CZ47,CV47)</f>
        <v>3855162.2800000003</v>
      </c>
      <c r="DQ48" s="85">
        <f>SUM(CO47,CS47)</f>
        <v>8077358</v>
      </c>
      <c r="DR48"/>
      <c r="DS48" s="85">
        <f>SUM(DO47,DK47,DG47,DC47,CY47)</f>
        <v>26817400.669999994</v>
      </c>
      <c r="DT48" s="85">
        <f>SUM(DP47,DL47,DH47,DD47,CZ47)</f>
        <v>5049444.6700000009</v>
      </c>
      <c r="DU48" s="85">
        <f>SUM(CW47,DM47,DI47,DE47,DA47)</f>
        <v>14869490</v>
      </c>
      <c r="DV48"/>
      <c r="DW48" s="69">
        <f>SUM(DO47,CQ47,CI47,CE47)</f>
        <v>21129449.039999992</v>
      </c>
      <c r="DX48" s="85">
        <f>SUM(DP48,CR47,CJ47,CF47)</f>
        <v>5135506.9300000006</v>
      </c>
      <c r="DY48" s="69">
        <f>SUM(DQ47,CK47,DU47)</f>
        <v>29006848</v>
      </c>
      <c r="DZ48"/>
    </row>
    <row r="49" spans="1:130" s="82" customFormat="1" x14ac:dyDescent="0.2">
      <c r="A49" s="10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86" t="s">
        <v>114</v>
      </c>
      <c r="T49" s="69"/>
      <c r="U49" s="87">
        <f>U15</f>
        <v>230000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 s="72" t="s">
        <v>114</v>
      </c>
      <c r="AJ49" s="67"/>
      <c r="AK49" s="88">
        <v>0</v>
      </c>
      <c r="AL49"/>
      <c r="AM49" s="10" t="s">
        <v>116</v>
      </c>
      <c r="AN49"/>
      <c r="AO49" s="26">
        <f>AO47-AO48</f>
        <v>0</v>
      </c>
      <c r="AP49"/>
      <c r="AQ49" s="10" t="s">
        <v>116</v>
      </c>
      <c r="AR49"/>
      <c r="AS49" s="67">
        <f>AS47-AS48</f>
        <v>0</v>
      </c>
      <c r="AT49"/>
      <c r="AU49" s="10" t="s">
        <v>116</v>
      </c>
      <c r="AV49"/>
      <c r="AW49" s="67">
        <f>AW47-AW48</f>
        <v>684386</v>
      </c>
      <c r="AX49"/>
      <c r="AY49" s="10"/>
      <c r="AZ49"/>
      <c r="BA49" s="67"/>
      <c r="BB49"/>
      <c r="BC49" s="10"/>
      <c r="BD49"/>
      <c r="BE49" s="67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 s="86" t="s">
        <v>114</v>
      </c>
      <c r="BT49" s="69"/>
      <c r="BU49" s="87">
        <f>BU15</f>
        <v>0</v>
      </c>
      <c r="BV49"/>
      <c r="BW49" s="86" t="s">
        <v>114</v>
      </c>
      <c r="BX49" s="69"/>
      <c r="BY49" s="87">
        <f>BY15</f>
        <v>127036</v>
      </c>
      <c r="BZ49"/>
      <c r="CA49" s="86" t="s">
        <v>114</v>
      </c>
      <c r="CB49" s="69"/>
      <c r="CC49" s="87">
        <f>CC15</f>
        <v>403825</v>
      </c>
      <c r="CD49"/>
      <c r="CE49" s="10" t="s">
        <v>116</v>
      </c>
      <c r="CF49"/>
      <c r="CG49" s="89">
        <f>CG47-CG48</f>
        <v>215000</v>
      </c>
      <c r="CH49"/>
      <c r="CI49" s="10" t="s">
        <v>116</v>
      </c>
      <c r="CJ49"/>
      <c r="CK49" s="89">
        <f>CK47-CK48</f>
        <v>3030000</v>
      </c>
      <c r="CL49"/>
      <c r="CM49" t="s">
        <v>117</v>
      </c>
      <c r="CN49" s="2"/>
      <c r="CO49" s="90">
        <f>CO47-CO48</f>
        <v>2059923</v>
      </c>
      <c r="CP49"/>
      <c r="CQ49" s="10" t="s">
        <v>116</v>
      </c>
      <c r="CR49"/>
      <c r="CS49" s="89">
        <f>CS47-CS48</f>
        <v>5622435</v>
      </c>
      <c r="CT49"/>
      <c r="CU49" s="10" t="s">
        <v>116</v>
      </c>
      <c r="CV49"/>
      <c r="CW49" s="91">
        <f>CW47-CW48</f>
        <v>3928892</v>
      </c>
      <c r="CX49"/>
      <c r="CY49" t="s">
        <v>116</v>
      </c>
      <c r="CZ49"/>
      <c r="DA49" s="91">
        <f>DA47-DA48</f>
        <v>2810000</v>
      </c>
      <c r="DB49"/>
      <c r="DC49" t="s">
        <v>116</v>
      </c>
      <c r="DD49"/>
      <c r="DE49" s="91">
        <f>DE47-DE48</f>
        <v>2978711</v>
      </c>
      <c r="DF49"/>
      <c r="DG49" s="67" t="s">
        <v>116</v>
      </c>
      <c r="DH49"/>
      <c r="DI49" s="91">
        <f>DI47-DI48</f>
        <v>2779248</v>
      </c>
      <c r="DJ49"/>
      <c r="DK49" s="67" t="s">
        <v>116</v>
      </c>
      <c r="DL49"/>
      <c r="DM49" s="91">
        <f>DM47-DM48</f>
        <v>1691639</v>
      </c>
      <c r="DN49"/>
      <c r="DO49" s="86" t="s">
        <v>114</v>
      </c>
      <c r="DP49" s="69"/>
      <c r="DQ49" s="87">
        <f>DQ15</f>
        <v>395000</v>
      </c>
      <c r="DR49"/>
      <c r="DS49" s="86" t="s">
        <v>114</v>
      </c>
      <c r="DT49" s="69"/>
      <c r="DU49" s="87">
        <f>DU15</f>
        <v>681000</v>
      </c>
      <c r="DV49"/>
      <c r="DW49" s="86" t="s">
        <v>114</v>
      </c>
      <c r="DX49" s="69"/>
      <c r="DY49" s="87">
        <f>DY15</f>
        <v>1101000</v>
      </c>
      <c r="DZ49"/>
    </row>
    <row r="50" spans="1:130" s="82" customForma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86" t="s">
        <v>116</v>
      </c>
      <c r="T50" s="69"/>
      <c r="U50" s="69">
        <f>U48-U49</f>
        <v>2425000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 s="72" t="s">
        <v>116</v>
      </c>
      <c r="AJ50" s="67"/>
      <c r="AK50" s="67">
        <f>AK48-AK49</f>
        <v>0</v>
      </c>
      <c r="AL50"/>
      <c r="AM50" s="92" t="s">
        <v>118</v>
      </c>
      <c r="AN50" s="92"/>
      <c r="AO50" s="92"/>
      <c r="AP50"/>
      <c r="AQ50" s="92" t="s">
        <v>119</v>
      </c>
      <c r="AR50" s="92"/>
      <c r="AS50" s="92"/>
      <c r="AT50"/>
      <c r="AU50" s="92" t="s">
        <v>120</v>
      </c>
      <c r="AV50" s="92"/>
      <c r="AW50" s="92"/>
      <c r="AX50"/>
      <c r="AY50" s="92"/>
      <c r="AZ50" s="92"/>
      <c r="BA50" s="92"/>
      <c r="BB50"/>
      <c r="BC50" s="93"/>
      <c r="BD50" s="92"/>
      <c r="BE50" s="92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 s="86" t="s">
        <v>116</v>
      </c>
      <c r="BT50" s="69"/>
      <c r="BU50" s="69">
        <f>BU48-BU49</f>
        <v>338765</v>
      </c>
      <c r="BV50"/>
      <c r="BW50" s="86" t="s">
        <v>116</v>
      </c>
      <c r="BX50" s="69"/>
      <c r="BY50" s="69">
        <f>BY48-BY49</f>
        <v>509954</v>
      </c>
      <c r="BZ50"/>
      <c r="CA50" s="86" t="s">
        <v>116</v>
      </c>
      <c r="CB50" s="69"/>
      <c r="CC50" s="69">
        <f>CC48-CC49</f>
        <v>3551339</v>
      </c>
      <c r="CD50"/>
      <c r="CE50" s="92" t="s">
        <v>16</v>
      </c>
      <c r="CF50" s="92"/>
      <c r="CG50" s="92"/>
      <c r="CH50"/>
      <c r="CI50" s="92" t="s">
        <v>16</v>
      </c>
      <c r="CJ50" s="92"/>
      <c r="CK50" s="92"/>
      <c r="CL50"/>
      <c r="CM50" s="92" t="s">
        <v>18</v>
      </c>
      <c r="CN50" s="92"/>
      <c r="CO50" s="92"/>
      <c r="CP50"/>
      <c r="CQ50" s="92" t="s">
        <v>19</v>
      </c>
      <c r="CR50" s="92"/>
      <c r="CS50" s="92"/>
      <c r="CT50"/>
      <c r="CU50" s="92" t="s">
        <v>20</v>
      </c>
      <c r="CV50" s="92"/>
      <c r="CW50" s="92"/>
      <c r="CX50"/>
      <c r="CY50" s="92" t="s">
        <v>21</v>
      </c>
      <c r="CZ50" s="92"/>
      <c r="DA50" s="92"/>
      <c r="DB50"/>
      <c r="DC50" s="92" t="s">
        <v>22</v>
      </c>
      <c r="DD50" s="92"/>
      <c r="DE50" s="92"/>
      <c r="DF50"/>
      <c r="DG50" s="94" t="s">
        <v>23</v>
      </c>
      <c r="DH50" s="94"/>
      <c r="DI50" s="94"/>
      <c r="DJ50"/>
      <c r="DK50" s="94" t="s">
        <v>24</v>
      </c>
      <c r="DL50" s="94"/>
      <c r="DM50" s="94"/>
      <c r="DN50"/>
      <c r="DO50" s="86" t="s">
        <v>116</v>
      </c>
      <c r="DP50" s="69"/>
      <c r="DQ50" s="69">
        <f>DQ48-DQ49</f>
        <v>7682358</v>
      </c>
      <c r="DR50"/>
      <c r="DS50" s="86" t="s">
        <v>116</v>
      </c>
      <c r="DT50" s="69"/>
      <c r="DU50" s="69">
        <f>DU48-DU49</f>
        <v>14188490</v>
      </c>
      <c r="DV50"/>
      <c r="DW50" s="86" t="s">
        <v>116</v>
      </c>
      <c r="DX50" s="69"/>
      <c r="DY50" s="69">
        <f>DY48-DY49</f>
        <v>27905848</v>
      </c>
      <c r="DZ50"/>
    </row>
    <row r="51" spans="1:130" x14ac:dyDescent="0.2">
      <c r="S51" s="95" t="s">
        <v>121</v>
      </c>
      <c r="T51" s="95"/>
      <c r="U51" s="95"/>
      <c r="AI51" s="92" t="s">
        <v>122</v>
      </c>
      <c r="AJ51" s="92"/>
      <c r="AK51" s="92"/>
      <c r="BS51" s="95" t="s">
        <v>123</v>
      </c>
      <c r="BT51" s="95"/>
      <c r="BU51" s="95"/>
      <c r="BW51" s="74"/>
      <c r="BX51" s="74"/>
      <c r="BY51" s="74"/>
      <c r="CA51" s="74"/>
      <c r="CB51" s="74"/>
      <c r="CC51" s="74"/>
      <c r="DO51" s="74"/>
      <c r="DP51" s="74"/>
      <c r="DQ51" s="74"/>
      <c r="DS51" s="74"/>
      <c r="DT51" s="74"/>
      <c r="DU51" s="74"/>
    </row>
    <row r="52" spans="1:130" x14ac:dyDescent="0.2">
      <c r="A52" s="96" t="s">
        <v>124</v>
      </c>
      <c r="C52" s="97">
        <v>49531</v>
      </c>
      <c r="D52" s="96">
        <v>0.49726776</v>
      </c>
      <c r="E52" s="97">
        <v>24630</v>
      </c>
      <c r="F52" s="98"/>
      <c r="G52" s="97">
        <v>2419</v>
      </c>
      <c r="H52" s="96">
        <v>0.16392999999999999</v>
      </c>
      <c r="I52" s="96">
        <v>397</v>
      </c>
      <c r="K52" s="97">
        <f>L15/2</f>
        <v>0</v>
      </c>
      <c r="L52" s="96">
        <f>30/183</f>
        <v>0.16393442622950818</v>
      </c>
      <c r="M52" s="97">
        <f>K52*L52</f>
        <v>0</v>
      </c>
      <c r="O52" s="96" t="s">
        <v>125</v>
      </c>
      <c r="P52" s="96" t="s">
        <v>125</v>
      </c>
      <c r="Q52" s="96" t="s">
        <v>125</v>
      </c>
      <c r="S52" s="99" t="s">
        <v>125</v>
      </c>
      <c r="T52" s="99" t="s">
        <v>125</v>
      </c>
      <c r="U52" s="100">
        <f>E52+M52</f>
        <v>24630</v>
      </c>
      <c r="W52" s="96" t="s">
        <v>125</v>
      </c>
      <c r="X52" s="96" t="s">
        <v>125</v>
      </c>
      <c r="Y52" s="96" t="s">
        <v>125</v>
      </c>
      <c r="Z52" s="101"/>
      <c r="AA52" s="101"/>
      <c r="AC52" s="96" t="s">
        <v>126</v>
      </c>
      <c r="AE52" s="96" t="s">
        <v>125</v>
      </c>
      <c r="AF52" s="96"/>
      <c r="AG52" s="96" t="s">
        <v>125</v>
      </c>
      <c r="AI52" s="96" t="s">
        <v>127</v>
      </c>
      <c r="AJ52" s="96">
        <v>0.86026999999999998</v>
      </c>
      <c r="AK52" s="96" t="s">
        <v>127</v>
      </c>
      <c r="AM52" s="97">
        <v>3691</v>
      </c>
      <c r="AN52" s="96">
        <v>0.43562000000000001</v>
      </c>
      <c r="AO52" s="97">
        <v>1608</v>
      </c>
      <c r="AQ52" s="96" t="s">
        <v>125</v>
      </c>
      <c r="AR52" s="96" t="s">
        <v>125</v>
      </c>
      <c r="AS52" s="96" t="s">
        <v>125</v>
      </c>
      <c r="AU52" s="97">
        <f>AV15</f>
        <v>26242.86</v>
      </c>
      <c r="AV52" s="96">
        <f>343/395</f>
        <v>0.8683544303797468</v>
      </c>
      <c r="AW52" s="97">
        <f>AU52*AV52</f>
        <v>22788.103746835444</v>
      </c>
      <c r="AY52" s="102"/>
      <c r="AZ52" s="102"/>
      <c r="BA52" s="102"/>
      <c r="BC52" s="97">
        <f>BD15</f>
        <v>7509</v>
      </c>
      <c r="BD52" s="96">
        <v>1</v>
      </c>
      <c r="BE52" s="97">
        <f>BC52*BD52</f>
        <v>7509</v>
      </c>
      <c r="BG52" s="97">
        <f>BH15</f>
        <v>14499</v>
      </c>
      <c r="BH52" s="96">
        <f>375/426</f>
        <v>0.88028169014084512</v>
      </c>
      <c r="BI52" s="97">
        <f>BG52*BH52</f>
        <v>12763.204225352114</v>
      </c>
      <c r="BJ52" s="101"/>
      <c r="BK52" s="101"/>
      <c r="BM52" s="97">
        <v>55153</v>
      </c>
      <c r="BN52" s="101"/>
      <c r="BO52" s="101"/>
      <c r="BQ52" s="103"/>
      <c r="BS52" s="96" t="s">
        <v>128</v>
      </c>
      <c r="BT52" s="82"/>
      <c r="BU52" s="97">
        <v>80946</v>
      </c>
      <c r="BW52" s="74"/>
      <c r="BX52" s="74"/>
      <c r="BY52" s="100">
        <f>AW52+BE52+BI52</f>
        <v>43060.307972187555</v>
      </c>
      <c r="CA52" s="99"/>
      <c r="CB52" s="99"/>
      <c r="CC52" s="100">
        <f>BY52+U52</f>
        <v>67690.307972187555</v>
      </c>
      <c r="CE52" s="97">
        <f>CF15/2</f>
        <v>3000</v>
      </c>
      <c r="CF52" s="96">
        <f>91/183</f>
        <v>0.49726775956284153</v>
      </c>
      <c r="CG52" s="97">
        <f>CF52*CE52</f>
        <v>1491.8032786885246</v>
      </c>
      <c r="CI52" s="97">
        <f>CJ15/2</f>
        <v>4897.37</v>
      </c>
      <c r="CJ52" s="96">
        <f>91/183</f>
        <v>0.49726775956284153</v>
      </c>
      <c r="CK52" s="97">
        <f>CJ52*CI52</f>
        <v>2435.3042076502729</v>
      </c>
      <c r="CM52" s="97">
        <f>CN15/2</f>
        <v>23493.705000000002</v>
      </c>
      <c r="CN52" s="104">
        <v>0.49726776</v>
      </c>
      <c r="CO52" s="97">
        <f>CM52*CN52</f>
        <v>11682.6620594508</v>
      </c>
      <c r="CQ52" s="97">
        <f>CR15/2</f>
        <v>72374</v>
      </c>
      <c r="CR52" s="96">
        <v>0.49726776</v>
      </c>
      <c r="CS52" s="97">
        <f>CQ52*CR52</f>
        <v>35989.256862239999</v>
      </c>
      <c r="CU52" s="97">
        <f>CV15/2</f>
        <v>50861</v>
      </c>
      <c r="CV52" s="96">
        <v>0.49726776</v>
      </c>
      <c r="CW52" s="97">
        <f>CU52*CV52</f>
        <v>25291.535541360001</v>
      </c>
      <c r="CY52" s="97">
        <f>CZ15/2</f>
        <v>36250</v>
      </c>
      <c r="CZ52" s="96">
        <v>0.49726776</v>
      </c>
      <c r="DA52" s="97">
        <f>CZ52*CY52</f>
        <v>18025.956300000002</v>
      </c>
      <c r="DC52" s="97">
        <f>DD15/2</f>
        <v>37796.5</v>
      </c>
      <c r="DD52" s="96">
        <v>0.49726776</v>
      </c>
      <c r="DE52" s="97">
        <f>DD52*DC52</f>
        <v>18794.980890840001</v>
      </c>
      <c r="DG52" s="97">
        <f>DH15/2</f>
        <v>35240.5</v>
      </c>
      <c r="DH52" s="96">
        <v>0.49726776</v>
      </c>
      <c r="DI52" s="97">
        <f>DG52*DH52</f>
        <v>17523.964496280001</v>
      </c>
      <c r="DK52" s="97">
        <f>DL15/2</f>
        <v>17426.39</v>
      </c>
      <c r="DL52" s="96">
        <v>0.49726776</v>
      </c>
      <c r="DM52" s="97">
        <f>DK52*DL52</f>
        <v>8665.5819201863997</v>
      </c>
      <c r="DO52" s="99" t="s">
        <v>129</v>
      </c>
      <c r="DP52" s="99"/>
      <c r="DQ52" s="100">
        <f>CO52+CS52</f>
        <v>47671.918921690798</v>
      </c>
      <c r="DR52" s="96"/>
      <c r="DS52" s="99" t="s">
        <v>130</v>
      </c>
      <c r="DT52" s="99"/>
      <c r="DU52" s="100">
        <f>DM52+DI52+DE52+DA52+CW52+CK52</f>
        <v>90737.323356316687</v>
      </c>
    </row>
    <row r="54" spans="1:130" x14ac:dyDescent="0.2">
      <c r="E54" s="105"/>
    </row>
  </sheetData>
  <mergeCells count="63">
    <mergeCell ref="S51:U51"/>
    <mergeCell ref="AI51:AK51"/>
    <mergeCell ref="BS51:BU51"/>
    <mergeCell ref="Z52:AA52"/>
    <mergeCell ref="AY52:BA52"/>
    <mergeCell ref="BJ52:BK52"/>
    <mergeCell ref="BN52:BO52"/>
    <mergeCell ref="CQ50:CS50"/>
    <mergeCell ref="CU50:CW50"/>
    <mergeCell ref="CY50:DA50"/>
    <mergeCell ref="DC50:DE50"/>
    <mergeCell ref="DG50:DI50"/>
    <mergeCell ref="DK50:DM50"/>
    <mergeCell ref="DS12:DU12"/>
    <mergeCell ref="DW12:DY12"/>
    <mergeCell ref="AM50:AO50"/>
    <mergeCell ref="AQ50:AS50"/>
    <mergeCell ref="AU50:AW50"/>
    <mergeCell ref="AY50:BA50"/>
    <mergeCell ref="BC50:BE50"/>
    <mergeCell ref="CE50:CG50"/>
    <mergeCell ref="CI50:CK50"/>
    <mergeCell ref="CM50:CO50"/>
    <mergeCell ref="CU12:CW12"/>
    <mergeCell ref="CY12:DA12"/>
    <mergeCell ref="DC12:DE12"/>
    <mergeCell ref="DG12:DI12"/>
    <mergeCell ref="DK12:DM12"/>
    <mergeCell ref="DO12:DQ12"/>
    <mergeCell ref="BW12:BY12"/>
    <mergeCell ref="CA12:CC12"/>
    <mergeCell ref="CE12:CG12"/>
    <mergeCell ref="CI12:CK12"/>
    <mergeCell ref="CM12:CO12"/>
    <mergeCell ref="CQ12:CS12"/>
    <mergeCell ref="AY12:BA12"/>
    <mergeCell ref="BC12:BE12"/>
    <mergeCell ref="BG12:BI12"/>
    <mergeCell ref="BK12:BM12"/>
    <mergeCell ref="BO12:BQ12"/>
    <mergeCell ref="BS12:BU12"/>
    <mergeCell ref="AA12:AC12"/>
    <mergeCell ref="AE12:AG12"/>
    <mergeCell ref="AI12:AK12"/>
    <mergeCell ref="AM12:AO12"/>
    <mergeCell ref="AQ12:AS12"/>
    <mergeCell ref="AU12:AW12"/>
    <mergeCell ref="C12:E12"/>
    <mergeCell ref="G12:I12"/>
    <mergeCell ref="K12:M12"/>
    <mergeCell ref="O12:Q12"/>
    <mergeCell ref="S12:U12"/>
    <mergeCell ref="W12:Y12"/>
    <mergeCell ref="DN7:DQ7"/>
    <mergeCell ref="CM8:CN8"/>
    <mergeCell ref="CQ8:CR8"/>
    <mergeCell ref="AQ10:AS10"/>
    <mergeCell ref="AU10:AW10"/>
    <mergeCell ref="AY10:BA10"/>
    <mergeCell ref="BC10:BE10"/>
    <mergeCell ref="BG10:BI10"/>
    <mergeCell ref="BK10:BM10"/>
    <mergeCell ref="BO10:BQ10"/>
  </mergeCells>
  <printOptions horizontalCentered="1"/>
  <pageMargins left="0.25" right="0.25" top="0.75" bottom="0.75" header="0.3" footer="0.3"/>
  <pageSetup scale="79" fitToWidth="0" orientation="landscape" r:id="rId1"/>
  <colBreaks count="5" manualBreakCount="5">
    <brk id="54" max="50" man="1"/>
    <brk id="82" max="50" man="1"/>
    <brk id="94" max="50" man="1"/>
    <brk id="106" max="50" man="1"/>
    <brk id="11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22-23 Debt Schedule</vt:lpstr>
      <vt:lpstr>'22-23 Debt Schedule'!Print_Area</vt:lpstr>
      <vt:lpstr>'22-23 Debt Schedule'!Print_Titles</vt:lpstr>
    </vt:vector>
  </TitlesOfParts>
  <Company>City of Burton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J. Holbrook</dc:creator>
  <cp:lastModifiedBy>Jodi J. Holbrook</cp:lastModifiedBy>
  <dcterms:created xsi:type="dcterms:W3CDTF">2022-11-17T16:43:28Z</dcterms:created>
  <dcterms:modified xsi:type="dcterms:W3CDTF">2022-11-17T16:43:52Z</dcterms:modified>
</cp:coreProperties>
</file>